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925" tabRatio="772" activeTab="9"/>
  </bookViews>
  <sheets>
    <sheet name="封面" sheetId="1" r:id="rId1"/>
    <sheet name="基本情况表" sheetId="2" r:id="rId2"/>
    <sheet name="收入情况表" sheetId="3" r:id="rId3"/>
    <sheet name="教育成本归集表" sheetId="4" r:id="rId4"/>
    <sheet name="教育培养成本核定表" sheetId="5" r:id="rId5"/>
    <sheet name="学生人数核定表" sheetId="12" r:id="rId6"/>
    <sheet name="教职工人数核定表" sheetId="7" r:id="rId7"/>
    <sheet name="薪酬核定表" sheetId="8" r:id="rId8"/>
    <sheet name="固定资产折旧计算表" sheetId="9" r:id="rId9"/>
    <sheet name="承诺书" sheetId="10" r:id="rId10"/>
  </sheets>
  <externalReferences>
    <externalReference r:id="rId11"/>
    <externalReference r:id="rId12"/>
  </externalReferences>
  <definedNames>
    <definedName name="_xlnm.Print_Titles" localSheetId="3">教育成本归集表!$1:$4</definedName>
  </definedNames>
  <calcPr calcId="144525"/>
</workbook>
</file>

<file path=xl/comments1.xml><?xml version="1.0" encoding="utf-8"?>
<comments xmlns="http://schemas.openxmlformats.org/spreadsheetml/2006/main">
  <authors>
    <author>Administrator</author>
  </authors>
  <commentList>
    <comment ref="A29" authorId="0">
      <text>
        <r>
          <rPr>
            <b/>
            <sz val="9"/>
            <rFont val="宋体"/>
            <charset val="134"/>
          </rPr>
          <t>Administrator:</t>
        </r>
        <r>
          <rPr>
            <sz val="9"/>
            <rFont val="宋体"/>
            <charset val="134"/>
          </rPr>
          <t xml:space="preserve">
净值</t>
        </r>
      </text>
    </comment>
  </commentList>
</comments>
</file>

<file path=xl/comments2.xml><?xml version="1.0" encoding="utf-8"?>
<comments xmlns="http://schemas.openxmlformats.org/spreadsheetml/2006/main">
  <authors>
    <author>Administrator</author>
  </authors>
  <commentList>
    <comment ref="A15" authorId="0">
      <text>
        <r>
          <rPr>
            <b/>
            <sz val="9"/>
            <rFont val="宋体"/>
            <charset val="134"/>
          </rPr>
          <t>Administrator:</t>
        </r>
        <r>
          <rPr>
            <sz val="9"/>
            <rFont val="宋体"/>
            <charset val="134"/>
          </rPr>
          <t xml:space="preserve">
长郡合作办学经费</t>
        </r>
      </text>
    </comment>
    <comment ref="A44" authorId="0">
      <text>
        <r>
          <rPr>
            <b/>
            <sz val="9"/>
            <rFont val="宋体"/>
            <charset val="134"/>
          </rPr>
          <t>Administrator:</t>
        </r>
        <r>
          <rPr>
            <sz val="9"/>
            <rFont val="宋体"/>
            <charset val="134"/>
          </rPr>
          <t xml:space="preserve">
本年度折旧数</t>
        </r>
      </text>
    </comment>
  </commentList>
</comments>
</file>

<file path=xl/sharedStrings.xml><?xml version="1.0" encoding="utf-8"?>
<sst xmlns="http://schemas.openxmlformats.org/spreadsheetml/2006/main" count="453" uniqueCount="295">
  <si>
    <t>民办中小学教育定价成本监审表</t>
  </si>
  <si>
    <t>（2019-2021年度）</t>
  </si>
  <si>
    <r>
      <rPr>
        <sz val="16"/>
        <rFont val="宋体"/>
        <charset val="134"/>
      </rPr>
      <t>学校名称</t>
    </r>
    <r>
      <rPr>
        <sz val="16"/>
        <rFont val="Times New Roman"/>
        <charset val="134"/>
      </rPr>
      <t xml:space="preserve">  </t>
    </r>
    <r>
      <rPr>
        <sz val="16"/>
        <rFont val="宋体"/>
        <charset val="134"/>
      </rPr>
      <t>（公章）</t>
    </r>
  </si>
  <si>
    <t>祁阳市郡祁学校</t>
  </si>
  <si>
    <r>
      <rPr>
        <sz val="16"/>
        <rFont val="宋体"/>
        <charset val="134"/>
      </rPr>
      <t>法人代表</t>
    </r>
    <r>
      <rPr>
        <sz val="16"/>
        <rFont val="Times New Roman"/>
        <charset val="134"/>
      </rPr>
      <t xml:space="preserve">  </t>
    </r>
  </si>
  <si>
    <t>周铁明</t>
  </si>
  <si>
    <r>
      <rPr>
        <sz val="16"/>
        <rFont val="宋体"/>
        <charset val="134"/>
      </rPr>
      <t>财务负责人</t>
    </r>
  </si>
  <si>
    <t>何哲军</t>
  </si>
  <si>
    <r>
      <rPr>
        <sz val="16"/>
        <rFont val="宋体"/>
        <charset val="134"/>
      </rPr>
      <t>填</t>
    </r>
    <r>
      <rPr>
        <sz val="16"/>
        <rFont val="Times New Roman"/>
        <charset val="134"/>
      </rPr>
      <t xml:space="preserve"> </t>
    </r>
    <r>
      <rPr>
        <sz val="16"/>
        <rFont val="宋体"/>
        <charset val="134"/>
      </rPr>
      <t>表</t>
    </r>
    <r>
      <rPr>
        <sz val="16"/>
        <rFont val="Times New Roman"/>
        <charset val="134"/>
      </rPr>
      <t xml:space="preserve"> </t>
    </r>
    <r>
      <rPr>
        <sz val="16"/>
        <rFont val="宋体"/>
        <charset val="134"/>
      </rPr>
      <t>人</t>
    </r>
    <r>
      <rPr>
        <sz val="16"/>
        <rFont val="Times New Roman"/>
        <charset val="134"/>
      </rPr>
      <t xml:space="preserve">  </t>
    </r>
  </si>
  <si>
    <t>李欣</t>
  </si>
  <si>
    <r>
      <rPr>
        <sz val="16"/>
        <rFont val="宋体"/>
        <charset val="134"/>
      </rPr>
      <t>学校地址</t>
    </r>
  </si>
  <si>
    <t>祁阳市长虹街道栖霞路及人民西路交汇处</t>
  </si>
  <si>
    <r>
      <rPr>
        <sz val="16"/>
        <rFont val="宋体"/>
        <charset val="134"/>
      </rPr>
      <t>邮政编码</t>
    </r>
  </si>
  <si>
    <r>
      <rPr>
        <sz val="16"/>
        <rFont val="宋体"/>
        <charset val="134"/>
      </rPr>
      <t>电</t>
    </r>
    <r>
      <rPr>
        <sz val="16"/>
        <rFont val="Times New Roman"/>
        <charset val="134"/>
      </rPr>
      <t xml:space="preserve">    </t>
    </r>
    <r>
      <rPr>
        <sz val="16"/>
        <rFont val="宋体"/>
        <charset val="134"/>
      </rPr>
      <t>话</t>
    </r>
  </si>
  <si>
    <t>0746-3226677</t>
  </si>
  <si>
    <r>
      <rPr>
        <sz val="16"/>
        <rFont val="宋体"/>
        <charset val="134"/>
      </rPr>
      <t>日</t>
    </r>
    <r>
      <rPr>
        <sz val="16"/>
        <rFont val="Times New Roman"/>
        <charset val="134"/>
      </rPr>
      <t xml:space="preserve">    </t>
    </r>
    <r>
      <rPr>
        <sz val="16"/>
        <rFont val="宋体"/>
        <charset val="134"/>
      </rPr>
      <t>期</t>
    </r>
  </si>
  <si>
    <r>
      <rPr>
        <sz val="16"/>
        <rFont val="黑体"/>
        <charset val="134"/>
      </rPr>
      <t>表</t>
    </r>
    <r>
      <rPr>
        <sz val="16"/>
        <rFont val="Times New Roman"/>
        <charset val="134"/>
      </rPr>
      <t>1</t>
    </r>
  </si>
  <si>
    <t>郡祁学校基本情况表</t>
  </si>
  <si>
    <t>学校类别：</t>
  </si>
  <si>
    <r>
      <rPr>
        <b/>
        <sz val="12"/>
        <color indexed="8"/>
        <rFont val="宋体"/>
        <charset val="134"/>
      </rPr>
      <t>项　　目</t>
    </r>
  </si>
  <si>
    <r>
      <rPr>
        <b/>
        <sz val="12"/>
        <color indexed="8"/>
        <rFont val="Times New Roman"/>
        <charset val="134"/>
      </rPr>
      <t>2019</t>
    </r>
    <r>
      <rPr>
        <b/>
        <sz val="12"/>
        <color indexed="8"/>
        <rFont val="宋体"/>
        <charset val="134"/>
      </rPr>
      <t>年</t>
    </r>
  </si>
  <si>
    <r>
      <rPr>
        <b/>
        <sz val="12"/>
        <rFont val="Times New Roman"/>
        <charset val="134"/>
      </rPr>
      <t>2020</t>
    </r>
    <r>
      <rPr>
        <b/>
        <sz val="12"/>
        <rFont val="宋体"/>
        <charset val="134"/>
      </rPr>
      <t>年</t>
    </r>
  </si>
  <si>
    <r>
      <rPr>
        <b/>
        <sz val="12"/>
        <rFont val="Times New Roman"/>
        <charset val="134"/>
      </rPr>
      <t>2021</t>
    </r>
    <r>
      <rPr>
        <b/>
        <sz val="12"/>
        <rFont val="宋体"/>
        <charset val="134"/>
      </rPr>
      <t>年</t>
    </r>
  </si>
  <si>
    <r>
      <rPr>
        <b/>
        <sz val="12"/>
        <rFont val="宋体"/>
        <charset val="134"/>
      </rPr>
      <t>备注</t>
    </r>
  </si>
  <si>
    <r>
      <rPr>
        <b/>
        <sz val="12"/>
        <color indexed="8"/>
        <rFont val="宋体"/>
        <charset val="134"/>
      </rPr>
      <t>一、班级（个）</t>
    </r>
  </si>
  <si>
    <r>
      <rPr>
        <sz val="12"/>
        <rFont val="宋体"/>
        <charset val="134"/>
      </rPr>
      <t>数据来源于学生人数统计表（底稿）</t>
    </r>
  </si>
  <si>
    <r>
      <rPr>
        <sz val="12"/>
        <color indexed="8"/>
        <rFont val="宋体"/>
        <charset val="134"/>
      </rPr>
      <t>　　小学部</t>
    </r>
  </si>
  <si>
    <r>
      <rPr>
        <sz val="12"/>
        <color indexed="8"/>
        <rFont val="宋体"/>
        <charset val="134"/>
      </rPr>
      <t>　　初中部</t>
    </r>
  </si>
  <si>
    <r>
      <rPr>
        <sz val="12"/>
        <color rgb="FF000000"/>
        <rFont val="Times New Roman"/>
        <charset val="134"/>
      </rPr>
      <t xml:space="preserve">       </t>
    </r>
    <r>
      <rPr>
        <sz val="12"/>
        <color indexed="8"/>
        <rFont val="宋体"/>
        <charset val="134"/>
      </rPr>
      <t>高中部</t>
    </r>
  </si>
  <si>
    <r>
      <rPr>
        <b/>
        <sz val="12"/>
        <color indexed="8"/>
        <rFont val="宋体"/>
        <charset val="134"/>
      </rPr>
      <t>二、学生总数（人）</t>
    </r>
  </si>
  <si>
    <r>
      <rPr>
        <sz val="12"/>
        <color rgb="FF000000"/>
        <rFont val="Times New Roman"/>
        <charset val="134"/>
      </rPr>
      <t xml:space="preserve">        </t>
    </r>
    <r>
      <rPr>
        <sz val="12"/>
        <color indexed="8"/>
        <rFont val="宋体"/>
        <charset val="134"/>
      </rPr>
      <t>高中部</t>
    </r>
  </si>
  <si>
    <r>
      <rPr>
        <b/>
        <sz val="12"/>
        <rFont val="宋体"/>
        <charset val="134"/>
      </rPr>
      <t>三、标准学生总人数（人）</t>
    </r>
  </si>
  <si>
    <r>
      <rPr>
        <b/>
        <sz val="12"/>
        <color indexed="8"/>
        <rFont val="宋体"/>
        <charset val="134"/>
      </rPr>
      <t>四、教职工人数</t>
    </r>
  </si>
  <si>
    <r>
      <rPr>
        <sz val="12"/>
        <rFont val="宋体"/>
        <charset val="134"/>
      </rPr>
      <t>数据来源于教职工人数统计表（底稿）</t>
    </r>
  </si>
  <si>
    <r>
      <rPr>
        <sz val="12"/>
        <rFont val="宋体"/>
        <charset val="134"/>
      </rPr>
      <t>（一）在职教职工人数</t>
    </r>
  </si>
  <si>
    <r>
      <rPr>
        <sz val="12"/>
        <rFont val="Times New Roman"/>
        <charset val="134"/>
      </rPr>
      <t>1</t>
    </r>
    <r>
      <rPr>
        <sz val="12"/>
        <rFont val="宋体"/>
        <charset val="134"/>
      </rPr>
      <t>、教学人员</t>
    </r>
  </si>
  <si>
    <r>
      <rPr>
        <sz val="12"/>
        <color rgb="FF000000"/>
        <rFont val="Times New Roman"/>
        <charset val="134"/>
      </rPr>
      <t xml:space="preserve">              </t>
    </r>
    <r>
      <rPr>
        <sz val="12"/>
        <color indexed="8"/>
        <rFont val="宋体"/>
        <charset val="134"/>
      </rPr>
      <t>小学部</t>
    </r>
  </si>
  <si>
    <r>
      <rPr>
        <sz val="12"/>
        <color rgb="FF000000"/>
        <rFont val="Times New Roman"/>
        <charset val="134"/>
      </rPr>
      <t xml:space="preserve">             </t>
    </r>
    <r>
      <rPr>
        <sz val="12"/>
        <color indexed="8"/>
        <rFont val="宋体"/>
        <charset val="134"/>
      </rPr>
      <t>初中部</t>
    </r>
  </si>
  <si>
    <r>
      <rPr>
        <sz val="12"/>
        <color rgb="FF000000"/>
        <rFont val="Times New Roman"/>
        <charset val="134"/>
      </rPr>
      <t xml:space="preserve">             </t>
    </r>
    <r>
      <rPr>
        <sz val="12"/>
        <color indexed="8"/>
        <rFont val="宋体"/>
        <charset val="134"/>
      </rPr>
      <t>高中部</t>
    </r>
  </si>
  <si>
    <t xml:space="preserve">    其中：外籍老师人数</t>
  </si>
  <si>
    <r>
      <rPr>
        <sz val="12"/>
        <rFont val="Times New Roman"/>
        <charset val="134"/>
      </rPr>
      <t>2</t>
    </r>
    <r>
      <rPr>
        <sz val="12"/>
        <rFont val="宋体"/>
        <charset val="134"/>
      </rPr>
      <t>、教学辅助人员</t>
    </r>
  </si>
  <si>
    <r>
      <rPr>
        <sz val="12"/>
        <rFont val="Times New Roman"/>
        <charset val="134"/>
      </rPr>
      <t>3</t>
    </r>
    <r>
      <rPr>
        <sz val="12"/>
        <rFont val="宋体"/>
        <charset val="134"/>
      </rPr>
      <t>、行政管理人员</t>
    </r>
  </si>
  <si>
    <r>
      <rPr>
        <sz val="12"/>
        <rFont val="Times New Roman"/>
        <charset val="134"/>
      </rPr>
      <t>4</t>
    </r>
    <r>
      <rPr>
        <sz val="12"/>
        <rFont val="宋体"/>
        <charset val="134"/>
      </rPr>
      <t>、后勤工作人员</t>
    </r>
  </si>
  <si>
    <r>
      <rPr>
        <sz val="12"/>
        <rFont val="宋体"/>
        <charset val="134"/>
      </rPr>
      <t>（二）其他人员</t>
    </r>
  </si>
  <si>
    <r>
      <rPr>
        <sz val="12"/>
        <rFont val="Times New Roman"/>
        <charset val="134"/>
      </rPr>
      <t xml:space="preserve">    1</t>
    </r>
    <r>
      <rPr>
        <sz val="12"/>
        <rFont val="宋体"/>
        <charset val="134"/>
      </rPr>
      <t>、短期聘用人员</t>
    </r>
  </si>
  <si>
    <r>
      <rPr>
        <sz val="12"/>
        <rFont val="Times New Roman"/>
        <charset val="134"/>
      </rPr>
      <t xml:space="preserve">    2</t>
    </r>
    <r>
      <rPr>
        <sz val="12"/>
        <rFont val="宋体"/>
        <charset val="134"/>
      </rPr>
      <t>、离退休人员</t>
    </r>
  </si>
  <si>
    <r>
      <rPr>
        <sz val="12"/>
        <rFont val="Times New Roman"/>
        <charset val="134"/>
      </rPr>
      <t xml:space="preserve">    3</t>
    </r>
    <r>
      <rPr>
        <sz val="12"/>
        <rFont val="宋体"/>
        <charset val="134"/>
      </rPr>
      <t>、劳务派遣人员</t>
    </r>
  </si>
  <si>
    <r>
      <rPr>
        <sz val="12"/>
        <rFont val="Times New Roman"/>
        <charset val="134"/>
      </rPr>
      <t xml:space="preserve">    4</t>
    </r>
    <r>
      <rPr>
        <sz val="12"/>
        <rFont val="宋体"/>
        <charset val="134"/>
      </rPr>
      <t>、其他临时人员</t>
    </r>
  </si>
  <si>
    <r>
      <rPr>
        <b/>
        <sz val="12"/>
        <rFont val="宋体"/>
        <charset val="134"/>
      </rPr>
      <t>五、固定资产年末总值（元）</t>
    </r>
  </si>
  <si>
    <r>
      <rPr>
        <sz val="12"/>
        <rFont val="Times New Roman"/>
        <charset val="134"/>
      </rPr>
      <t xml:space="preserve">  1.</t>
    </r>
    <r>
      <rPr>
        <sz val="12"/>
        <rFont val="宋体"/>
        <charset val="134"/>
      </rPr>
      <t>房屋及构筑物</t>
    </r>
  </si>
  <si>
    <r>
      <rPr>
        <sz val="12"/>
        <rFont val="Times New Roman"/>
        <charset val="134"/>
      </rPr>
      <t xml:space="preserve">  2.</t>
    </r>
    <r>
      <rPr>
        <sz val="12"/>
        <rFont val="宋体"/>
        <charset val="134"/>
      </rPr>
      <t>通用设备</t>
    </r>
  </si>
  <si>
    <r>
      <rPr>
        <sz val="12"/>
        <rFont val="Times New Roman"/>
        <charset val="134"/>
      </rPr>
      <t xml:space="preserve">  3.</t>
    </r>
    <r>
      <rPr>
        <sz val="12"/>
        <rFont val="宋体"/>
        <charset val="134"/>
      </rPr>
      <t>专用设备</t>
    </r>
  </si>
  <si>
    <r>
      <rPr>
        <sz val="12"/>
        <rFont val="Times New Roman"/>
        <charset val="134"/>
      </rPr>
      <t xml:space="preserve">  4.</t>
    </r>
    <r>
      <rPr>
        <sz val="12"/>
        <rFont val="宋体"/>
        <charset val="134"/>
      </rPr>
      <t>家具、用具及装具</t>
    </r>
  </si>
  <si>
    <r>
      <rPr>
        <sz val="12"/>
        <color rgb="FF000000"/>
        <rFont val="Times New Roman"/>
        <charset val="134"/>
      </rPr>
      <t xml:space="preserve">      5.</t>
    </r>
    <r>
      <rPr>
        <sz val="12"/>
        <color indexed="8"/>
        <rFont val="宋体"/>
        <charset val="134"/>
      </rPr>
      <t>其他固定资产</t>
    </r>
  </si>
  <si>
    <r>
      <rPr>
        <sz val="16"/>
        <rFont val="黑体"/>
        <charset val="134"/>
      </rPr>
      <t>表</t>
    </r>
    <r>
      <rPr>
        <sz val="16"/>
        <rFont val="Times New Roman"/>
        <charset val="134"/>
      </rPr>
      <t>2</t>
    </r>
  </si>
  <si>
    <t>郡祁学校收入情况表</t>
  </si>
  <si>
    <t xml:space="preserve">                               </t>
  </si>
  <si>
    <t>项      目</t>
  </si>
  <si>
    <t>2019年</t>
  </si>
  <si>
    <t>2020年</t>
  </si>
  <si>
    <t>2021年</t>
  </si>
  <si>
    <t>一、财政补助收入（元）</t>
  </si>
  <si>
    <t>（一）教育经费拨款</t>
  </si>
  <si>
    <t>其中：离退休人员拨款</t>
  </si>
  <si>
    <t>（二）科研经费拨款</t>
  </si>
  <si>
    <t>（三）其他</t>
  </si>
  <si>
    <t>二、上级补助收入（元）</t>
  </si>
  <si>
    <t>三、事业收入（元）</t>
  </si>
  <si>
    <t>（一）教育事业收入</t>
  </si>
  <si>
    <t>1、学费收入</t>
  </si>
  <si>
    <t>(1)小学生</t>
  </si>
  <si>
    <t>(2)初中生</t>
  </si>
  <si>
    <t>(3)高中生</t>
  </si>
  <si>
    <t>(4)其他</t>
  </si>
  <si>
    <t>2、住宿费收入</t>
  </si>
  <si>
    <t>3、服务费收入</t>
  </si>
  <si>
    <t>4、其他</t>
  </si>
  <si>
    <t>各项收入占总收入比列</t>
  </si>
  <si>
    <t>学费</t>
  </si>
  <si>
    <t>住宿费</t>
  </si>
  <si>
    <t>服务费</t>
  </si>
  <si>
    <r>
      <rPr>
        <sz val="16"/>
        <rFont val="黑体"/>
        <charset val="134"/>
      </rPr>
      <t>表</t>
    </r>
    <r>
      <rPr>
        <sz val="16"/>
        <rFont val="Times New Roman"/>
        <charset val="134"/>
      </rPr>
      <t>3</t>
    </r>
  </si>
  <si>
    <t>郡祁学校教育成本归集表</t>
  </si>
  <si>
    <t>单位：元</t>
  </si>
  <si>
    <r>
      <rPr>
        <b/>
        <sz val="12"/>
        <rFont val="宋体"/>
        <charset val="134"/>
      </rPr>
      <t>项</t>
    </r>
    <r>
      <rPr>
        <b/>
        <sz val="12"/>
        <rFont val="Times New Roman"/>
        <charset val="134"/>
      </rPr>
      <t xml:space="preserve">  </t>
    </r>
    <r>
      <rPr>
        <b/>
        <sz val="12"/>
        <rFont val="宋体"/>
        <charset val="134"/>
      </rPr>
      <t>目</t>
    </r>
  </si>
  <si>
    <r>
      <rPr>
        <b/>
        <sz val="12"/>
        <rFont val="Times New Roman"/>
        <charset val="134"/>
      </rPr>
      <t>2019</t>
    </r>
    <r>
      <rPr>
        <b/>
        <sz val="12"/>
        <rFont val="宋体"/>
        <charset val="134"/>
      </rPr>
      <t>年上报数</t>
    </r>
  </si>
  <si>
    <t>核增（减）</t>
  </si>
  <si>
    <r>
      <rPr>
        <b/>
        <sz val="12"/>
        <color rgb="FFFF0000"/>
        <rFont val="Times New Roman"/>
        <charset val="134"/>
      </rPr>
      <t>2019</t>
    </r>
    <r>
      <rPr>
        <b/>
        <sz val="12"/>
        <color rgb="FFFF0000"/>
        <rFont val="宋体"/>
        <charset val="134"/>
      </rPr>
      <t>年核定数</t>
    </r>
  </si>
  <si>
    <r>
      <rPr>
        <b/>
        <sz val="12"/>
        <rFont val="Times New Roman"/>
        <charset val="134"/>
      </rPr>
      <t>2020</t>
    </r>
    <r>
      <rPr>
        <b/>
        <sz val="12"/>
        <rFont val="宋体"/>
        <charset val="134"/>
      </rPr>
      <t>年上报数</t>
    </r>
  </si>
  <si>
    <r>
      <rPr>
        <b/>
        <sz val="12"/>
        <color rgb="FFFF0000"/>
        <rFont val="Times New Roman"/>
        <charset val="134"/>
      </rPr>
      <t>2020</t>
    </r>
    <r>
      <rPr>
        <b/>
        <sz val="12"/>
        <color rgb="FFFF0000"/>
        <rFont val="宋体"/>
        <charset val="134"/>
      </rPr>
      <t>年核定数</t>
    </r>
  </si>
  <si>
    <r>
      <rPr>
        <b/>
        <sz val="12"/>
        <rFont val="Times New Roman"/>
        <charset val="134"/>
      </rPr>
      <t>2021</t>
    </r>
    <r>
      <rPr>
        <b/>
        <sz val="12"/>
        <rFont val="宋体"/>
        <charset val="134"/>
      </rPr>
      <t>年上报数</t>
    </r>
  </si>
  <si>
    <r>
      <rPr>
        <b/>
        <sz val="12"/>
        <color rgb="FFFF0000"/>
        <rFont val="Times New Roman"/>
        <charset val="134"/>
      </rPr>
      <t>2021</t>
    </r>
    <r>
      <rPr>
        <b/>
        <sz val="12"/>
        <color rgb="FFFF0000"/>
        <rFont val="宋体"/>
        <charset val="134"/>
      </rPr>
      <t>年核定数</t>
    </r>
  </si>
  <si>
    <r>
      <rPr>
        <b/>
        <sz val="12"/>
        <rFont val="宋体"/>
        <charset val="134"/>
      </rPr>
      <t>一、工资福利支出</t>
    </r>
  </si>
  <si>
    <r>
      <rPr>
        <sz val="12"/>
        <rFont val="Times New Roman"/>
        <charset val="134"/>
      </rPr>
      <t xml:space="preserve">  1.</t>
    </r>
    <r>
      <rPr>
        <sz val="12"/>
        <rFont val="宋体"/>
        <charset val="134"/>
      </rPr>
      <t>工资</t>
    </r>
  </si>
  <si>
    <r>
      <rPr>
        <sz val="12"/>
        <rFont val="Times New Roman"/>
        <charset val="134"/>
      </rPr>
      <t xml:space="preserve">  2.</t>
    </r>
    <r>
      <rPr>
        <sz val="12"/>
        <rFont val="宋体"/>
        <charset val="134"/>
      </rPr>
      <t>福利费</t>
    </r>
  </si>
  <si>
    <r>
      <rPr>
        <sz val="12"/>
        <rFont val="Times New Roman"/>
        <charset val="134"/>
      </rPr>
      <t xml:space="preserve">  3.</t>
    </r>
    <r>
      <rPr>
        <sz val="12"/>
        <rFont val="宋体"/>
        <charset val="134"/>
      </rPr>
      <t>奖金</t>
    </r>
  </si>
  <si>
    <r>
      <rPr>
        <sz val="12"/>
        <rFont val="Times New Roman"/>
        <charset val="134"/>
      </rPr>
      <t xml:space="preserve">  4.</t>
    </r>
    <r>
      <rPr>
        <sz val="12"/>
        <rFont val="宋体"/>
        <charset val="134"/>
      </rPr>
      <t>社会保险费</t>
    </r>
  </si>
  <si>
    <r>
      <rPr>
        <sz val="12"/>
        <rFont val="Times New Roman"/>
        <charset val="134"/>
      </rPr>
      <t xml:space="preserve">  5.</t>
    </r>
    <r>
      <rPr>
        <sz val="12"/>
        <rFont val="宋体"/>
        <charset val="134"/>
      </rPr>
      <t>住房公积金</t>
    </r>
  </si>
  <si>
    <r>
      <rPr>
        <sz val="12"/>
        <rFont val="Times New Roman"/>
        <charset val="134"/>
      </rPr>
      <t xml:space="preserve">  6.</t>
    </r>
    <r>
      <rPr>
        <sz val="12"/>
        <rFont val="宋体"/>
        <charset val="134"/>
      </rPr>
      <t>其他</t>
    </r>
  </si>
  <si>
    <r>
      <rPr>
        <b/>
        <sz val="12"/>
        <rFont val="宋体"/>
        <charset val="134"/>
      </rPr>
      <t>二、商品和服务支出</t>
    </r>
  </si>
  <si>
    <r>
      <rPr>
        <sz val="12"/>
        <color indexed="8"/>
        <rFont val="Times New Roman"/>
        <charset val="134"/>
      </rPr>
      <t xml:space="preserve">    1.</t>
    </r>
    <r>
      <rPr>
        <sz val="12"/>
        <color indexed="8"/>
        <rFont val="宋体"/>
        <charset val="134"/>
      </rPr>
      <t>办公费</t>
    </r>
  </si>
  <si>
    <r>
      <rPr>
        <sz val="12"/>
        <color indexed="8"/>
        <rFont val="Times New Roman"/>
        <charset val="134"/>
      </rPr>
      <t xml:space="preserve">    2.</t>
    </r>
    <r>
      <rPr>
        <sz val="12"/>
        <color indexed="8"/>
        <rFont val="宋体"/>
        <charset val="134"/>
      </rPr>
      <t>印刷费</t>
    </r>
  </si>
  <si>
    <r>
      <rPr>
        <sz val="12"/>
        <color indexed="8"/>
        <rFont val="Times New Roman"/>
        <charset val="134"/>
      </rPr>
      <t xml:space="preserve">    3.</t>
    </r>
    <r>
      <rPr>
        <sz val="12"/>
        <color indexed="8"/>
        <rFont val="宋体"/>
        <charset val="134"/>
      </rPr>
      <t>咨询费</t>
    </r>
  </si>
  <si>
    <r>
      <rPr>
        <sz val="12"/>
        <color indexed="8"/>
        <rFont val="Times New Roman"/>
        <charset val="134"/>
      </rPr>
      <t xml:space="preserve">    4.</t>
    </r>
    <r>
      <rPr>
        <sz val="12"/>
        <color indexed="8"/>
        <rFont val="宋体"/>
        <charset val="134"/>
      </rPr>
      <t>手续费</t>
    </r>
  </si>
  <si>
    <r>
      <rPr>
        <sz val="12"/>
        <color indexed="8"/>
        <rFont val="Times New Roman"/>
        <charset val="134"/>
      </rPr>
      <t xml:space="preserve">    5.</t>
    </r>
    <r>
      <rPr>
        <sz val="12"/>
        <color indexed="8"/>
        <rFont val="宋体"/>
        <charset val="134"/>
      </rPr>
      <t>水费</t>
    </r>
  </si>
  <si>
    <r>
      <rPr>
        <sz val="12"/>
        <color indexed="8"/>
        <rFont val="Times New Roman"/>
        <charset val="134"/>
      </rPr>
      <t xml:space="preserve">    6.</t>
    </r>
    <r>
      <rPr>
        <sz val="12"/>
        <color indexed="8"/>
        <rFont val="宋体"/>
        <charset val="134"/>
      </rPr>
      <t>电费</t>
    </r>
  </si>
  <si>
    <r>
      <rPr>
        <sz val="12"/>
        <color indexed="8"/>
        <rFont val="Times New Roman"/>
        <charset val="134"/>
      </rPr>
      <t xml:space="preserve">    7.</t>
    </r>
    <r>
      <rPr>
        <sz val="12"/>
        <color indexed="8"/>
        <rFont val="宋体"/>
        <charset val="134"/>
      </rPr>
      <t>邮电费</t>
    </r>
  </si>
  <si>
    <r>
      <rPr>
        <sz val="12"/>
        <color indexed="8"/>
        <rFont val="Times New Roman"/>
        <charset val="134"/>
      </rPr>
      <t xml:space="preserve">    8.</t>
    </r>
    <r>
      <rPr>
        <sz val="12"/>
        <color indexed="8"/>
        <rFont val="宋体"/>
        <charset val="134"/>
      </rPr>
      <t>网络费用</t>
    </r>
  </si>
  <si>
    <r>
      <rPr>
        <sz val="12"/>
        <color indexed="8"/>
        <rFont val="Times New Roman"/>
        <charset val="134"/>
      </rPr>
      <t xml:space="preserve">    9.</t>
    </r>
    <r>
      <rPr>
        <sz val="12"/>
        <color indexed="8"/>
        <rFont val="宋体"/>
        <charset val="134"/>
      </rPr>
      <t>差旅费</t>
    </r>
  </si>
  <si>
    <r>
      <rPr>
        <sz val="12"/>
        <color indexed="8"/>
        <rFont val="Times New Roman"/>
        <charset val="134"/>
      </rPr>
      <t xml:space="preserve">    10.</t>
    </r>
    <r>
      <rPr>
        <sz val="12"/>
        <color indexed="8"/>
        <rFont val="宋体"/>
        <charset val="134"/>
      </rPr>
      <t>广告费</t>
    </r>
  </si>
  <si>
    <r>
      <rPr>
        <sz val="12"/>
        <color indexed="8"/>
        <rFont val="Times New Roman"/>
        <charset val="134"/>
      </rPr>
      <t xml:space="preserve">    11.</t>
    </r>
    <r>
      <rPr>
        <sz val="12"/>
        <color indexed="8"/>
        <rFont val="宋体"/>
        <charset val="134"/>
      </rPr>
      <t>维修（护）费</t>
    </r>
  </si>
  <si>
    <r>
      <rPr>
        <sz val="12"/>
        <color indexed="8"/>
        <rFont val="Times New Roman"/>
        <charset val="134"/>
      </rPr>
      <t xml:space="preserve">    12.</t>
    </r>
    <r>
      <rPr>
        <sz val="12"/>
        <color indexed="8"/>
        <rFont val="宋体"/>
        <charset val="134"/>
      </rPr>
      <t>租赁费</t>
    </r>
  </si>
  <si>
    <r>
      <rPr>
        <sz val="12"/>
        <color indexed="8"/>
        <rFont val="Times New Roman"/>
        <charset val="134"/>
      </rPr>
      <t xml:space="preserve">    13.</t>
    </r>
    <r>
      <rPr>
        <sz val="12"/>
        <color indexed="8"/>
        <rFont val="宋体"/>
        <charset val="134"/>
      </rPr>
      <t>会议费</t>
    </r>
  </si>
  <si>
    <r>
      <rPr>
        <sz val="12"/>
        <color indexed="8"/>
        <rFont val="Times New Roman"/>
        <charset val="134"/>
      </rPr>
      <t xml:space="preserve">    14.</t>
    </r>
    <r>
      <rPr>
        <sz val="12"/>
        <color indexed="8"/>
        <rFont val="宋体"/>
        <charset val="134"/>
      </rPr>
      <t>培训费</t>
    </r>
  </si>
  <si>
    <r>
      <rPr>
        <sz val="12"/>
        <color indexed="8"/>
        <rFont val="Times New Roman"/>
        <charset val="134"/>
      </rPr>
      <t xml:space="preserve">    15.</t>
    </r>
    <r>
      <rPr>
        <sz val="12"/>
        <color indexed="8"/>
        <rFont val="宋体"/>
        <charset val="134"/>
      </rPr>
      <t>公务接待费</t>
    </r>
  </si>
  <si>
    <r>
      <rPr>
        <sz val="12"/>
        <color indexed="8"/>
        <rFont val="Times New Roman"/>
        <charset val="134"/>
      </rPr>
      <t xml:space="preserve">    16.</t>
    </r>
    <r>
      <rPr>
        <sz val="12"/>
        <color indexed="8"/>
        <rFont val="宋体"/>
        <charset val="134"/>
      </rPr>
      <t>专用材料费</t>
    </r>
  </si>
  <si>
    <r>
      <rPr>
        <sz val="12"/>
        <color indexed="8"/>
        <rFont val="Times New Roman"/>
        <charset val="134"/>
      </rPr>
      <t xml:space="preserve">    17.</t>
    </r>
    <r>
      <rPr>
        <sz val="12"/>
        <color indexed="8"/>
        <rFont val="宋体"/>
        <charset val="134"/>
      </rPr>
      <t>劳务费</t>
    </r>
  </si>
  <si>
    <r>
      <rPr>
        <sz val="12"/>
        <color indexed="8"/>
        <rFont val="Times New Roman"/>
        <charset val="134"/>
      </rPr>
      <t xml:space="preserve">    18.</t>
    </r>
    <r>
      <rPr>
        <sz val="12"/>
        <color indexed="8"/>
        <rFont val="宋体"/>
        <charset val="134"/>
      </rPr>
      <t>职工教育经费</t>
    </r>
  </si>
  <si>
    <r>
      <rPr>
        <sz val="12"/>
        <color indexed="8"/>
        <rFont val="Times New Roman"/>
        <charset val="134"/>
      </rPr>
      <t xml:space="preserve">    19.</t>
    </r>
    <r>
      <rPr>
        <sz val="12"/>
        <color indexed="8"/>
        <rFont val="宋体"/>
        <charset val="134"/>
      </rPr>
      <t>工会经费</t>
    </r>
  </si>
  <si>
    <r>
      <rPr>
        <sz val="12"/>
        <color indexed="8"/>
        <rFont val="Times New Roman"/>
        <charset val="134"/>
      </rPr>
      <t xml:space="preserve">    20.</t>
    </r>
    <r>
      <rPr>
        <sz val="12"/>
        <color indexed="8"/>
        <rFont val="宋体"/>
        <charset val="134"/>
      </rPr>
      <t>福利费</t>
    </r>
  </si>
  <si>
    <r>
      <rPr>
        <sz val="12"/>
        <color indexed="8"/>
        <rFont val="Times New Roman"/>
        <charset val="134"/>
      </rPr>
      <t xml:space="preserve">    21.</t>
    </r>
    <r>
      <rPr>
        <sz val="12"/>
        <color indexed="8"/>
        <rFont val="宋体"/>
        <charset val="134"/>
      </rPr>
      <t>车辆运行维护费</t>
    </r>
  </si>
  <si>
    <r>
      <rPr>
        <sz val="12"/>
        <color indexed="8"/>
        <rFont val="Times New Roman"/>
        <charset val="134"/>
      </rPr>
      <t xml:space="preserve">    22.</t>
    </r>
    <r>
      <rPr>
        <sz val="12"/>
        <color indexed="8"/>
        <rFont val="宋体"/>
        <charset val="134"/>
      </rPr>
      <t>其他交通费用</t>
    </r>
  </si>
  <si>
    <r>
      <rPr>
        <sz val="12"/>
        <color indexed="8"/>
        <rFont val="Times New Roman"/>
        <charset val="134"/>
      </rPr>
      <t xml:space="preserve">    23.</t>
    </r>
    <r>
      <rPr>
        <sz val="12"/>
        <color indexed="8"/>
        <rFont val="宋体"/>
        <charset val="134"/>
      </rPr>
      <t>税金及附加费用</t>
    </r>
  </si>
  <si>
    <r>
      <rPr>
        <sz val="12"/>
        <color indexed="8"/>
        <rFont val="Times New Roman"/>
        <charset val="134"/>
      </rPr>
      <t xml:space="preserve">    24.</t>
    </r>
    <r>
      <rPr>
        <sz val="12"/>
        <color indexed="8"/>
        <rFont val="宋体"/>
        <charset val="134"/>
      </rPr>
      <t>其他商品和服务支出</t>
    </r>
  </si>
  <si>
    <r>
      <rPr>
        <b/>
        <sz val="12"/>
        <color indexed="8"/>
        <rFont val="宋体"/>
        <charset val="134"/>
      </rPr>
      <t>三、对个人和家庭的补助</t>
    </r>
  </si>
  <si>
    <r>
      <rPr>
        <sz val="12"/>
        <color indexed="8"/>
        <rFont val="Times New Roman"/>
        <charset val="134"/>
      </rPr>
      <t xml:space="preserve">    1.</t>
    </r>
    <r>
      <rPr>
        <sz val="12"/>
        <color indexed="8"/>
        <rFont val="宋体"/>
        <charset val="134"/>
      </rPr>
      <t>离休费</t>
    </r>
  </si>
  <si>
    <r>
      <rPr>
        <sz val="12"/>
        <color indexed="8"/>
        <rFont val="Times New Roman"/>
        <charset val="134"/>
      </rPr>
      <t xml:space="preserve">    2.</t>
    </r>
    <r>
      <rPr>
        <sz val="12"/>
        <color indexed="8"/>
        <rFont val="宋体"/>
        <charset val="134"/>
      </rPr>
      <t>抚恤金</t>
    </r>
  </si>
  <si>
    <r>
      <rPr>
        <sz val="12"/>
        <color indexed="8"/>
        <rFont val="Times New Roman"/>
        <charset val="134"/>
      </rPr>
      <t xml:space="preserve">    3.</t>
    </r>
    <r>
      <rPr>
        <sz val="12"/>
        <color indexed="8"/>
        <rFont val="宋体"/>
        <charset val="134"/>
      </rPr>
      <t>生活补助</t>
    </r>
  </si>
  <si>
    <r>
      <rPr>
        <sz val="12"/>
        <color indexed="8"/>
        <rFont val="Times New Roman"/>
        <charset val="134"/>
      </rPr>
      <t xml:space="preserve">    4.</t>
    </r>
    <r>
      <rPr>
        <sz val="12"/>
        <color indexed="8"/>
        <rFont val="宋体"/>
        <charset val="134"/>
      </rPr>
      <t>医疗费补助</t>
    </r>
  </si>
  <si>
    <r>
      <rPr>
        <sz val="12"/>
        <color indexed="8"/>
        <rFont val="Times New Roman"/>
        <charset val="134"/>
      </rPr>
      <t xml:space="preserve">    5.</t>
    </r>
    <r>
      <rPr>
        <sz val="12"/>
        <color indexed="8"/>
        <rFont val="宋体"/>
        <charset val="134"/>
      </rPr>
      <t>助学金</t>
    </r>
  </si>
  <si>
    <r>
      <rPr>
        <sz val="12"/>
        <color indexed="8"/>
        <rFont val="Times New Roman"/>
        <charset val="134"/>
      </rPr>
      <t xml:space="preserve">    6.</t>
    </r>
    <r>
      <rPr>
        <sz val="12"/>
        <color indexed="8"/>
        <rFont val="宋体"/>
        <charset val="134"/>
      </rPr>
      <t>其他对个人和家庭的补助支出</t>
    </r>
  </si>
  <si>
    <r>
      <rPr>
        <b/>
        <sz val="12"/>
        <rFont val="宋体"/>
        <charset val="134"/>
      </rPr>
      <t>四、固定资产折旧（元）</t>
    </r>
  </si>
  <si>
    <r>
      <rPr>
        <sz val="12"/>
        <color indexed="8"/>
        <rFont val="Times New Roman"/>
        <charset val="134"/>
      </rPr>
      <t xml:space="preserve">    5.</t>
    </r>
    <r>
      <rPr>
        <sz val="12"/>
        <color indexed="8"/>
        <rFont val="宋体"/>
        <charset val="134"/>
      </rPr>
      <t>其他固定资产</t>
    </r>
  </si>
  <si>
    <r>
      <rPr>
        <b/>
        <sz val="12"/>
        <rFont val="宋体"/>
        <charset val="134"/>
      </rPr>
      <t>五、无形资产摊销</t>
    </r>
  </si>
  <si>
    <r>
      <rPr>
        <b/>
        <sz val="12"/>
        <rFont val="宋体"/>
        <charset val="134"/>
      </rPr>
      <t>六、财务费用</t>
    </r>
  </si>
  <si>
    <r>
      <rPr>
        <sz val="12"/>
        <rFont val="Times New Roman"/>
        <charset val="134"/>
      </rPr>
      <t xml:space="preserve">    1.</t>
    </r>
    <r>
      <rPr>
        <sz val="12"/>
        <rFont val="宋体"/>
        <charset val="134"/>
      </rPr>
      <t>利息支出</t>
    </r>
  </si>
  <si>
    <r>
      <rPr>
        <sz val="12"/>
        <rFont val="Times New Roman"/>
        <charset val="134"/>
      </rPr>
      <t xml:space="preserve">    2.</t>
    </r>
    <r>
      <rPr>
        <sz val="12"/>
        <rFont val="宋体"/>
        <charset val="134"/>
      </rPr>
      <t>利息收入</t>
    </r>
  </si>
  <si>
    <r>
      <rPr>
        <sz val="12"/>
        <rFont val="Times New Roman"/>
        <charset val="134"/>
      </rPr>
      <t xml:space="preserve">    3.</t>
    </r>
    <r>
      <rPr>
        <sz val="12"/>
        <rFont val="宋体"/>
        <charset val="134"/>
      </rPr>
      <t>手续费</t>
    </r>
  </si>
  <si>
    <r>
      <rPr>
        <b/>
        <sz val="12"/>
        <rFont val="宋体"/>
        <charset val="134"/>
      </rPr>
      <t>七、学校总支出</t>
    </r>
  </si>
  <si>
    <r>
      <rPr>
        <sz val="16"/>
        <rFont val="黑体"/>
        <charset val="134"/>
      </rPr>
      <t>表</t>
    </r>
    <r>
      <rPr>
        <sz val="16"/>
        <rFont val="Times New Roman"/>
        <charset val="134"/>
      </rPr>
      <t>4</t>
    </r>
  </si>
  <si>
    <t>郡祁学校教育培养成本核定表</t>
  </si>
  <si>
    <t>项目　</t>
  </si>
  <si>
    <r>
      <rPr>
        <b/>
        <sz val="12"/>
        <rFont val="Times New Roman"/>
        <charset val="134"/>
      </rPr>
      <t>2019</t>
    </r>
    <r>
      <rPr>
        <b/>
        <sz val="12"/>
        <rFont val="宋体"/>
        <charset val="134"/>
      </rPr>
      <t>年</t>
    </r>
  </si>
  <si>
    <r>
      <rPr>
        <b/>
        <sz val="12"/>
        <rFont val="宋体"/>
        <charset val="134"/>
      </rPr>
      <t>一、学校基本情况</t>
    </r>
    <r>
      <rPr>
        <b/>
        <sz val="12"/>
        <rFont val="Times New Roman"/>
        <charset val="134"/>
      </rPr>
      <t xml:space="preserve"> </t>
    </r>
  </si>
  <si>
    <r>
      <rPr>
        <sz val="12"/>
        <rFont val="Times New Roman"/>
        <charset val="134"/>
      </rPr>
      <t xml:space="preserve">    (</t>
    </r>
    <r>
      <rPr>
        <sz val="12"/>
        <rFont val="宋体"/>
        <charset val="134"/>
      </rPr>
      <t>一</t>
    </r>
    <r>
      <rPr>
        <sz val="12"/>
        <rFont val="Times New Roman"/>
        <charset val="134"/>
      </rPr>
      <t xml:space="preserve">) </t>
    </r>
    <r>
      <rPr>
        <sz val="12"/>
        <rFont val="宋体"/>
        <charset val="134"/>
      </rPr>
      <t>标准学生人数</t>
    </r>
    <r>
      <rPr>
        <sz val="12"/>
        <rFont val="Times New Roman"/>
        <charset val="134"/>
      </rPr>
      <t>(</t>
    </r>
    <r>
      <rPr>
        <sz val="12"/>
        <rFont val="宋体"/>
        <charset val="134"/>
      </rPr>
      <t>人</t>
    </r>
    <r>
      <rPr>
        <sz val="12"/>
        <rFont val="Times New Roman"/>
        <charset val="134"/>
      </rPr>
      <t>)</t>
    </r>
  </si>
  <si>
    <r>
      <rPr>
        <sz val="12"/>
        <rFont val="Times New Roman"/>
        <charset val="134"/>
      </rPr>
      <t xml:space="preserve">    (</t>
    </r>
    <r>
      <rPr>
        <sz val="12"/>
        <rFont val="宋体"/>
        <charset val="134"/>
      </rPr>
      <t>二</t>
    </r>
    <r>
      <rPr>
        <sz val="12"/>
        <rFont val="Times New Roman"/>
        <charset val="134"/>
      </rPr>
      <t>)</t>
    </r>
    <r>
      <rPr>
        <sz val="12"/>
        <rFont val="宋体"/>
        <charset val="134"/>
      </rPr>
      <t>教职工总数</t>
    </r>
    <r>
      <rPr>
        <sz val="12"/>
        <rFont val="Times New Roman"/>
        <charset val="134"/>
      </rPr>
      <t>(</t>
    </r>
    <r>
      <rPr>
        <sz val="12"/>
        <rFont val="宋体"/>
        <charset val="134"/>
      </rPr>
      <t>人</t>
    </r>
    <r>
      <rPr>
        <sz val="12"/>
        <rFont val="Times New Roman"/>
        <charset val="134"/>
      </rPr>
      <t xml:space="preserve">) </t>
    </r>
    <r>
      <rPr>
        <sz val="12"/>
        <rFont val="宋体"/>
        <charset val="134"/>
      </rPr>
      <t>　　</t>
    </r>
    <r>
      <rPr>
        <sz val="12"/>
        <rFont val="Times New Roman"/>
        <charset val="134"/>
      </rPr>
      <t xml:space="preserve"> </t>
    </r>
  </si>
  <si>
    <t>二、行政人员比例</t>
  </si>
  <si>
    <r>
      <rPr>
        <sz val="12"/>
        <rFont val="宋体"/>
        <charset val="134"/>
      </rPr>
      <t>行政管理人员占在职教职工总数的比重</t>
    </r>
    <r>
      <rPr>
        <sz val="12"/>
        <rFont val="Times New Roman"/>
        <charset val="134"/>
      </rPr>
      <t xml:space="preserve"> (%)</t>
    </r>
  </si>
  <si>
    <t>三、师生比</t>
  </si>
  <si>
    <r>
      <rPr>
        <sz val="12"/>
        <rFont val="Times New Roman"/>
        <charset val="134"/>
      </rPr>
      <t xml:space="preserve"> </t>
    </r>
    <r>
      <rPr>
        <sz val="12"/>
        <rFont val="宋体"/>
        <charset val="134"/>
      </rPr>
      <t>　　</t>
    </r>
    <r>
      <rPr>
        <sz val="12"/>
        <rFont val="Times New Roman"/>
        <charset val="134"/>
      </rPr>
      <t>(</t>
    </r>
    <r>
      <rPr>
        <sz val="12"/>
        <rFont val="宋体"/>
        <charset val="134"/>
      </rPr>
      <t>一</t>
    </r>
    <r>
      <rPr>
        <sz val="12"/>
        <rFont val="Times New Roman"/>
        <charset val="134"/>
      </rPr>
      <t>)</t>
    </r>
    <r>
      <rPr>
        <sz val="12"/>
        <rFont val="宋体"/>
        <charset val="134"/>
      </rPr>
      <t>小学师生比</t>
    </r>
  </si>
  <si>
    <r>
      <rPr>
        <sz val="12"/>
        <rFont val="Times New Roman"/>
        <charset val="134"/>
      </rPr>
      <t xml:space="preserve"> </t>
    </r>
    <r>
      <rPr>
        <sz val="12"/>
        <rFont val="宋体"/>
        <charset val="134"/>
      </rPr>
      <t>　　</t>
    </r>
    <r>
      <rPr>
        <sz val="12"/>
        <rFont val="Times New Roman"/>
        <charset val="134"/>
      </rPr>
      <t>(</t>
    </r>
    <r>
      <rPr>
        <sz val="12"/>
        <rFont val="宋体"/>
        <charset val="134"/>
      </rPr>
      <t>二</t>
    </r>
    <r>
      <rPr>
        <sz val="12"/>
        <rFont val="Times New Roman"/>
        <charset val="134"/>
      </rPr>
      <t>)</t>
    </r>
    <r>
      <rPr>
        <sz val="12"/>
        <rFont val="宋体"/>
        <charset val="134"/>
      </rPr>
      <t>初中师生比</t>
    </r>
  </si>
  <si>
    <r>
      <rPr>
        <sz val="12"/>
        <rFont val="Times New Roman"/>
        <charset val="134"/>
      </rPr>
      <t xml:space="preserve"> </t>
    </r>
    <r>
      <rPr>
        <sz val="12"/>
        <rFont val="宋体"/>
        <charset val="134"/>
      </rPr>
      <t>　　</t>
    </r>
    <r>
      <rPr>
        <sz val="12"/>
        <rFont val="Times New Roman"/>
        <charset val="134"/>
      </rPr>
      <t>(</t>
    </r>
    <r>
      <rPr>
        <sz val="12"/>
        <rFont val="宋体"/>
        <charset val="134"/>
      </rPr>
      <t>三</t>
    </r>
    <r>
      <rPr>
        <sz val="12"/>
        <rFont val="Times New Roman"/>
        <charset val="134"/>
      </rPr>
      <t>)</t>
    </r>
    <r>
      <rPr>
        <sz val="12"/>
        <rFont val="宋体"/>
        <charset val="134"/>
      </rPr>
      <t>高中师生比</t>
    </r>
  </si>
  <si>
    <r>
      <rPr>
        <b/>
        <sz val="12"/>
        <rFont val="宋体"/>
        <charset val="134"/>
      </rPr>
      <t>四、教育培养总成本</t>
    </r>
    <r>
      <rPr>
        <b/>
        <sz val="12"/>
        <rFont val="Times New Roman"/>
        <charset val="134"/>
      </rPr>
      <t>(</t>
    </r>
    <r>
      <rPr>
        <b/>
        <sz val="12"/>
        <rFont val="宋体"/>
        <charset val="134"/>
      </rPr>
      <t>元</t>
    </r>
    <r>
      <rPr>
        <b/>
        <sz val="12"/>
        <rFont val="Times New Roman"/>
        <charset val="134"/>
      </rPr>
      <t xml:space="preserve">)  </t>
    </r>
  </si>
  <si>
    <r>
      <rPr>
        <sz val="12"/>
        <rFont val="Times New Roman"/>
        <charset val="134"/>
      </rPr>
      <t xml:space="preserve"> </t>
    </r>
    <r>
      <rPr>
        <sz val="12"/>
        <rFont val="宋体"/>
        <charset val="134"/>
      </rPr>
      <t>　　</t>
    </r>
    <r>
      <rPr>
        <sz val="12"/>
        <rFont val="Times New Roman"/>
        <charset val="134"/>
      </rPr>
      <t>(</t>
    </r>
    <r>
      <rPr>
        <sz val="12"/>
        <rFont val="宋体"/>
        <charset val="134"/>
      </rPr>
      <t>一</t>
    </r>
    <r>
      <rPr>
        <sz val="12"/>
        <rFont val="Times New Roman"/>
        <charset val="134"/>
      </rPr>
      <t>)</t>
    </r>
    <r>
      <rPr>
        <sz val="12"/>
        <rFont val="宋体"/>
        <charset val="134"/>
      </rPr>
      <t>工资福利支出　　　</t>
    </r>
    <r>
      <rPr>
        <sz val="12"/>
        <rFont val="Times New Roman"/>
        <charset val="134"/>
      </rPr>
      <t xml:space="preserve"> </t>
    </r>
  </si>
  <si>
    <r>
      <rPr>
        <sz val="12"/>
        <rFont val="Times New Roman"/>
        <charset val="134"/>
      </rPr>
      <t xml:space="preserve"> </t>
    </r>
    <r>
      <rPr>
        <sz val="12"/>
        <rFont val="宋体"/>
        <charset val="134"/>
      </rPr>
      <t>　　</t>
    </r>
    <r>
      <rPr>
        <sz val="12"/>
        <rFont val="Times New Roman"/>
        <charset val="134"/>
      </rPr>
      <t>(</t>
    </r>
    <r>
      <rPr>
        <sz val="12"/>
        <rFont val="宋体"/>
        <charset val="134"/>
      </rPr>
      <t>二</t>
    </r>
    <r>
      <rPr>
        <sz val="12"/>
        <rFont val="Times New Roman"/>
        <charset val="134"/>
      </rPr>
      <t>)</t>
    </r>
    <r>
      <rPr>
        <sz val="12"/>
        <rFont val="宋体"/>
        <charset val="134"/>
      </rPr>
      <t>商品和服务支出</t>
    </r>
  </si>
  <si>
    <r>
      <rPr>
        <sz val="12"/>
        <rFont val="Times New Roman"/>
        <charset val="134"/>
      </rPr>
      <t xml:space="preserve"> </t>
    </r>
    <r>
      <rPr>
        <sz val="12"/>
        <rFont val="宋体"/>
        <charset val="134"/>
      </rPr>
      <t>　　</t>
    </r>
    <r>
      <rPr>
        <sz val="12"/>
        <rFont val="Times New Roman"/>
        <charset val="134"/>
      </rPr>
      <t>(</t>
    </r>
    <r>
      <rPr>
        <sz val="12"/>
        <rFont val="宋体"/>
        <charset val="134"/>
      </rPr>
      <t>三</t>
    </r>
    <r>
      <rPr>
        <sz val="12"/>
        <rFont val="Times New Roman"/>
        <charset val="134"/>
      </rPr>
      <t>)</t>
    </r>
    <r>
      <rPr>
        <sz val="12"/>
        <rFont val="宋体"/>
        <charset val="134"/>
      </rPr>
      <t>对个人家庭补助支出　　</t>
    </r>
    <r>
      <rPr>
        <sz val="12"/>
        <rFont val="Times New Roman"/>
        <charset val="134"/>
      </rPr>
      <t xml:space="preserve"> </t>
    </r>
    <r>
      <rPr>
        <sz val="12"/>
        <rFont val="宋体"/>
        <charset val="134"/>
      </rPr>
      <t>　　　　</t>
    </r>
    <r>
      <rPr>
        <sz val="12"/>
        <rFont val="Times New Roman"/>
        <charset val="134"/>
      </rPr>
      <t xml:space="preserve"> </t>
    </r>
  </si>
  <si>
    <r>
      <rPr>
        <sz val="12"/>
        <rFont val="Times New Roman"/>
        <charset val="134"/>
      </rPr>
      <t xml:space="preserve"> </t>
    </r>
    <r>
      <rPr>
        <sz val="12"/>
        <rFont val="宋体"/>
        <charset val="134"/>
      </rPr>
      <t>　　</t>
    </r>
    <r>
      <rPr>
        <sz val="12"/>
        <rFont val="Times New Roman"/>
        <charset val="134"/>
      </rPr>
      <t>(</t>
    </r>
    <r>
      <rPr>
        <sz val="12"/>
        <rFont val="宋体"/>
        <charset val="134"/>
      </rPr>
      <t>四</t>
    </r>
    <r>
      <rPr>
        <sz val="12"/>
        <rFont val="Times New Roman"/>
        <charset val="134"/>
      </rPr>
      <t>)</t>
    </r>
    <r>
      <rPr>
        <sz val="12"/>
        <rFont val="宋体"/>
        <charset val="134"/>
      </rPr>
      <t>固定资产折旧</t>
    </r>
  </si>
  <si>
    <r>
      <rPr>
        <sz val="12"/>
        <rFont val="Times New Roman"/>
        <charset val="134"/>
      </rPr>
      <t xml:space="preserve">       </t>
    </r>
    <r>
      <rPr>
        <sz val="12"/>
        <rFont val="宋体"/>
        <charset val="134"/>
      </rPr>
      <t>（五）无形资产摊销</t>
    </r>
  </si>
  <si>
    <r>
      <rPr>
        <sz val="12"/>
        <rFont val="Times New Roman"/>
        <charset val="134"/>
      </rPr>
      <t xml:space="preserve">       </t>
    </r>
    <r>
      <rPr>
        <sz val="12"/>
        <rFont val="宋体"/>
        <charset val="134"/>
      </rPr>
      <t>（六）财务费用</t>
    </r>
  </si>
  <si>
    <t>五、应冲减成本的收入（元）</t>
  </si>
  <si>
    <t>六、核定教育培养总成本（元）</t>
  </si>
  <si>
    <r>
      <rPr>
        <b/>
        <sz val="12"/>
        <rFont val="宋体"/>
        <charset val="134"/>
      </rPr>
      <t>七、生均教育培养成本</t>
    </r>
    <r>
      <rPr>
        <b/>
        <sz val="12"/>
        <rFont val="Times New Roman"/>
        <charset val="134"/>
      </rPr>
      <t>(</t>
    </r>
    <r>
      <rPr>
        <b/>
        <sz val="12"/>
        <rFont val="宋体"/>
        <charset val="134"/>
      </rPr>
      <t>元／生</t>
    </r>
    <r>
      <rPr>
        <b/>
        <sz val="12"/>
        <rFont val="Times New Roman"/>
        <charset val="134"/>
      </rPr>
      <t>·</t>
    </r>
    <r>
      <rPr>
        <b/>
        <sz val="12"/>
        <rFont val="宋体"/>
        <charset val="134"/>
      </rPr>
      <t>年</t>
    </r>
    <r>
      <rPr>
        <b/>
        <sz val="12"/>
        <rFont val="Times New Roman"/>
        <charset val="134"/>
      </rPr>
      <t xml:space="preserve">) </t>
    </r>
  </si>
  <si>
    <r>
      <rPr>
        <sz val="12"/>
        <rFont val="Times New Roman"/>
        <charset val="134"/>
      </rPr>
      <t xml:space="preserve">    </t>
    </r>
    <r>
      <rPr>
        <sz val="12"/>
        <rFont val="宋体"/>
        <charset val="134"/>
      </rPr>
      <t>小学生均教育培养成本</t>
    </r>
    <r>
      <rPr>
        <sz val="12"/>
        <rFont val="Times New Roman"/>
        <charset val="134"/>
      </rPr>
      <t>(</t>
    </r>
    <r>
      <rPr>
        <sz val="12"/>
        <rFont val="宋体"/>
        <charset val="134"/>
      </rPr>
      <t>元／生</t>
    </r>
    <r>
      <rPr>
        <sz val="12"/>
        <rFont val="Times New Roman"/>
        <charset val="134"/>
      </rPr>
      <t>·</t>
    </r>
    <r>
      <rPr>
        <sz val="12"/>
        <rFont val="宋体"/>
        <charset val="134"/>
      </rPr>
      <t>年</t>
    </r>
    <r>
      <rPr>
        <sz val="12"/>
        <rFont val="Times New Roman"/>
        <charset val="134"/>
      </rPr>
      <t xml:space="preserve">) </t>
    </r>
  </si>
  <si>
    <r>
      <rPr>
        <sz val="12"/>
        <rFont val="Times New Roman"/>
        <charset val="134"/>
      </rPr>
      <t xml:space="preserve">    </t>
    </r>
    <r>
      <rPr>
        <sz val="12"/>
        <rFont val="宋体"/>
        <charset val="134"/>
      </rPr>
      <t>初中生均教育培养成本</t>
    </r>
    <r>
      <rPr>
        <sz val="12"/>
        <rFont val="Times New Roman"/>
        <charset val="134"/>
      </rPr>
      <t>(</t>
    </r>
    <r>
      <rPr>
        <sz val="12"/>
        <rFont val="宋体"/>
        <charset val="134"/>
      </rPr>
      <t>元／生</t>
    </r>
    <r>
      <rPr>
        <sz val="12"/>
        <rFont val="Times New Roman"/>
        <charset val="134"/>
      </rPr>
      <t>·</t>
    </r>
    <r>
      <rPr>
        <sz val="12"/>
        <rFont val="宋体"/>
        <charset val="134"/>
      </rPr>
      <t>年</t>
    </r>
    <r>
      <rPr>
        <sz val="12"/>
        <rFont val="Times New Roman"/>
        <charset val="134"/>
      </rPr>
      <t xml:space="preserve">) </t>
    </r>
  </si>
  <si>
    <r>
      <rPr>
        <sz val="12"/>
        <rFont val="Times New Roman"/>
        <charset val="134"/>
      </rPr>
      <t xml:space="preserve">    </t>
    </r>
    <r>
      <rPr>
        <sz val="12"/>
        <rFont val="宋体"/>
        <charset val="134"/>
      </rPr>
      <t>三年小学平均教育培养成本</t>
    </r>
    <r>
      <rPr>
        <sz val="12"/>
        <rFont val="Times New Roman"/>
        <charset val="134"/>
      </rPr>
      <t>(</t>
    </r>
    <r>
      <rPr>
        <sz val="12"/>
        <rFont val="宋体"/>
        <charset val="134"/>
      </rPr>
      <t>元／生</t>
    </r>
    <r>
      <rPr>
        <sz val="12"/>
        <rFont val="Times New Roman"/>
        <charset val="134"/>
      </rPr>
      <t>·</t>
    </r>
    <r>
      <rPr>
        <sz val="12"/>
        <rFont val="宋体"/>
        <charset val="134"/>
      </rPr>
      <t>年</t>
    </r>
    <r>
      <rPr>
        <sz val="12"/>
        <rFont val="Times New Roman"/>
        <charset val="134"/>
      </rPr>
      <t xml:space="preserve">) </t>
    </r>
  </si>
  <si>
    <r>
      <rPr>
        <sz val="12"/>
        <rFont val="Times New Roman"/>
        <charset val="134"/>
      </rPr>
      <t xml:space="preserve">    </t>
    </r>
    <r>
      <rPr>
        <sz val="12"/>
        <rFont val="宋体"/>
        <charset val="134"/>
      </rPr>
      <t>三年初中平均教育培养成本</t>
    </r>
    <r>
      <rPr>
        <sz val="12"/>
        <rFont val="Times New Roman"/>
        <charset val="134"/>
      </rPr>
      <t>(</t>
    </r>
    <r>
      <rPr>
        <sz val="12"/>
        <rFont val="宋体"/>
        <charset val="134"/>
      </rPr>
      <t>元／生</t>
    </r>
    <r>
      <rPr>
        <sz val="12"/>
        <rFont val="Times New Roman"/>
        <charset val="134"/>
      </rPr>
      <t>·</t>
    </r>
    <r>
      <rPr>
        <sz val="12"/>
        <rFont val="宋体"/>
        <charset val="134"/>
      </rPr>
      <t>年</t>
    </r>
    <r>
      <rPr>
        <sz val="12"/>
        <rFont val="Times New Roman"/>
        <charset val="134"/>
      </rPr>
      <t xml:space="preserve">) </t>
    </r>
  </si>
  <si>
    <t>郡祁学校学生人数核定表</t>
  </si>
  <si>
    <r>
      <rPr>
        <b/>
        <sz val="12"/>
        <color indexed="8"/>
        <rFont val="宋体"/>
        <charset val="134"/>
      </rPr>
      <t>学部</t>
    </r>
  </si>
  <si>
    <r>
      <rPr>
        <b/>
        <sz val="12"/>
        <color indexed="8"/>
        <rFont val="宋体"/>
        <charset val="134"/>
      </rPr>
      <t>班级</t>
    </r>
  </si>
  <si>
    <r>
      <rPr>
        <b/>
        <sz val="12"/>
        <color indexed="8"/>
        <rFont val="宋体"/>
        <charset val="134"/>
      </rPr>
      <t>上半年学生人数</t>
    </r>
  </si>
  <si>
    <r>
      <rPr>
        <b/>
        <sz val="12"/>
        <color indexed="8"/>
        <rFont val="宋体"/>
        <charset val="134"/>
      </rPr>
      <t>下半年学生人数</t>
    </r>
  </si>
  <si>
    <t>核定数</t>
  </si>
  <si>
    <t>小学部</t>
  </si>
  <si>
    <r>
      <rPr>
        <sz val="12"/>
        <rFont val="Times New Roman"/>
        <charset val="134"/>
      </rPr>
      <t>2019</t>
    </r>
    <r>
      <rPr>
        <sz val="12"/>
        <rFont val="宋体"/>
        <charset val="134"/>
      </rPr>
      <t>年</t>
    </r>
  </si>
  <si>
    <r>
      <rPr>
        <sz val="12"/>
        <rFont val="Times New Roman"/>
        <charset val="134"/>
      </rPr>
      <t>2020</t>
    </r>
    <r>
      <rPr>
        <sz val="12"/>
        <rFont val="宋体"/>
        <charset val="134"/>
      </rPr>
      <t>年</t>
    </r>
  </si>
  <si>
    <r>
      <rPr>
        <sz val="12"/>
        <rFont val="Times New Roman"/>
        <charset val="134"/>
      </rPr>
      <t>2021</t>
    </r>
    <r>
      <rPr>
        <sz val="12"/>
        <rFont val="宋体"/>
        <charset val="134"/>
      </rPr>
      <t>年</t>
    </r>
  </si>
  <si>
    <r>
      <rPr>
        <sz val="12"/>
        <rFont val="宋体"/>
        <charset val="134"/>
      </rPr>
      <t>小计</t>
    </r>
  </si>
  <si>
    <t>初中部</t>
  </si>
  <si>
    <r>
      <rPr>
        <b/>
        <sz val="12"/>
        <color indexed="8"/>
        <rFont val="宋体"/>
        <charset val="134"/>
      </rPr>
      <t>核定数</t>
    </r>
  </si>
  <si>
    <t>高中部</t>
  </si>
  <si>
    <t>标准学生人数</t>
  </si>
  <si>
    <t>取初中为标准0.8，小学为初中的0.56计算</t>
  </si>
  <si>
    <t>实际学生人数</t>
  </si>
  <si>
    <t>加高中人数标准</t>
  </si>
  <si>
    <t>加高中人数实际</t>
  </si>
  <si>
    <t>郡祁学校教职工人数核定表</t>
  </si>
  <si>
    <t>郡祁学校教职工年工资总额核定表</t>
  </si>
  <si>
    <r>
      <rPr>
        <b/>
        <sz val="12"/>
        <color indexed="8"/>
        <rFont val="宋体"/>
        <charset val="134"/>
      </rPr>
      <t>项目</t>
    </r>
  </si>
  <si>
    <t>2019年上半年人数</t>
  </si>
  <si>
    <t>2019年下半年人数</t>
  </si>
  <si>
    <t>核算数</t>
  </si>
  <si>
    <t>限额数</t>
  </si>
  <si>
    <t>核减数</t>
  </si>
  <si>
    <t>当地教育行业人均数</t>
  </si>
  <si>
    <t>核定人数</t>
  </si>
  <si>
    <t>核定平均总额</t>
  </si>
  <si>
    <t>限额值（1.2倍）</t>
  </si>
  <si>
    <r>
      <rPr>
        <b/>
        <sz val="12"/>
        <color indexed="8"/>
        <rFont val="宋体"/>
        <charset val="134"/>
      </rPr>
      <t>教职工人数</t>
    </r>
  </si>
  <si>
    <t>（一）在职教职工人数</t>
  </si>
  <si>
    <r>
      <rPr>
        <sz val="12"/>
        <color rgb="FF000000"/>
        <rFont val="Times New Roman"/>
        <charset val="134"/>
      </rPr>
      <t xml:space="preserve">             </t>
    </r>
    <r>
      <rPr>
        <sz val="12"/>
        <color indexed="8"/>
        <rFont val="宋体"/>
        <charset val="134"/>
      </rPr>
      <t>小学部</t>
    </r>
  </si>
  <si>
    <r>
      <rPr>
        <sz val="12"/>
        <color rgb="FF000000"/>
        <rFont val="Times New Roman"/>
        <charset val="134"/>
      </rPr>
      <t xml:space="preserve">            </t>
    </r>
    <r>
      <rPr>
        <sz val="12"/>
        <color indexed="8"/>
        <rFont val="宋体"/>
        <charset val="134"/>
      </rPr>
      <t>初中部</t>
    </r>
  </si>
  <si>
    <r>
      <rPr>
        <sz val="12"/>
        <color rgb="FF000000"/>
        <rFont val="Times New Roman"/>
        <charset val="134"/>
      </rPr>
      <t xml:space="preserve">            </t>
    </r>
    <r>
      <rPr>
        <sz val="12"/>
        <color indexed="8"/>
        <rFont val="宋体"/>
        <charset val="134"/>
      </rPr>
      <t>高中部</t>
    </r>
  </si>
  <si>
    <t>2020年上半年人数</t>
  </si>
  <si>
    <t>2020年下半年人数</t>
  </si>
  <si>
    <t>2021年上半年人数</t>
  </si>
  <si>
    <t>2021年下半年人数</t>
  </si>
  <si>
    <t>郡祁学校职工薪酬核定表</t>
  </si>
  <si>
    <r>
      <rPr>
        <b/>
        <sz val="12"/>
        <color theme="1"/>
        <rFont val="Times New Roman"/>
        <charset val="134"/>
      </rPr>
      <t>2019</t>
    </r>
    <r>
      <rPr>
        <b/>
        <sz val="12"/>
        <color indexed="8"/>
        <rFont val="宋体"/>
        <charset val="134"/>
      </rPr>
      <t>年上报数</t>
    </r>
  </si>
  <si>
    <r>
      <rPr>
        <b/>
        <sz val="12"/>
        <color theme="1"/>
        <rFont val="Times New Roman"/>
        <charset val="134"/>
      </rPr>
      <t>2019</t>
    </r>
    <r>
      <rPr>
        <b/>
        <sz val="12"/>
        <color indexed="8"/>
        <rFont val="宋体"/>
        <charset val="134"/>
      </rPr>
      <t>年核减数</t>
    </r>
  </si>
  <si>
    <r>
      <rPr>
        <b/>
        <sz val="12"/>
        <rFont val="Times New Roman"/>
        <charset val="134"/>
      </rPr>
      <t>2019</t>
    </r>
    <r>
      <rPr>
        <b/>
        <sz val="12"/>
        <rFont val="宋体"/>
        <charset val="134"/>
      </rPr>
      <t>年核定数</t>
    </r>
  </si>
  <si>
    <t>比列</t>
  </si>
  <si>
    <r>
      <rPr>
        <sz val="12"/>
        <rFont val="宋体"/>
        <charset val="134"/>
      </rPr>
      <t>职工薪酬</t>
    </r>
  </si>
  <si>
    <t>顶薪核减福利等支出</t>
  </si>
  <si>
    <r>
      <rPr>
        <sz val="12"/>
        <rFont val="宋体"/>
        <charset val="134"/>
      </rPr>
      <t>职工福利费</t>
    </r>
  </si>
  <si>
    <t>不超过14%</t>
  </si>
  <si>
    <r>
      <rPr>
        <sz val="12"/>
        <rFont val="宋体"/>
        <charset val="134"/>
      </rPr>
      <t>社会保障费</t>
    </r>
    <r>
      <rPr>
        <sz val="12"/>
        <rFont val="Times New Roman"/>
        <charset val="134"/>
      </rPr>
      <t>(</t>
    </r>
    <r>
      <rPr>
        <sz val="12"/>
        <rFont val="宋体"/>
        <charset val="134"/>
      </rPr>
      <t>五险</t>
    </r>
    <r>
      <rPr>
        <sz val="12"/>
        <rFont val="Times New Roman"/>
        <charset val="134"/>
      </rPr>
      <t>)</t>
    </r>
  </si>
  <si>
    <r>
      <rPr>
        <sz val="12"/>
        <rFont val="宋体"/>
        <charset val="134"/>
      </rPr>
      <t>企业年金</t>
    </r>
  </si>
  <si>
    <t>补充医疗保险</t>
  </si>
  <si>
    <r>
      <rPr>
        <sz val="12"/>
        <rFont val="宋体"/>
        <charset val="134"/>
      </rPr>
      <t>住房公积金</t>
    </r>
  </si>
  <si>
    <t>不超过12%，不低于5%</t>
  </si>
  <si>
    <r>
      <rPr>
        <sz val="12"/>
        <rFont val="宋体"/>
        <charset val="134"/>
      </rPr>
      <t>工会经费</t>
    </r>
  </si>
  <si>
    <r>
      <rPr>
        <sz val="12"/>
        <rFont val="宋体"/>
        <charset val="134"/>
      </rPr>
      <t>职工教育经费</t>
    </r>
  </si>
  <si>
    <t>总额</t>
  </si>
  <si>
    <t>年工资福利支出</t>
  </si>
  <si>
    <r>
      <rPr>
        <b/>
        <sz val="12"/>
        <color theme="1"/>
        <rFont val="Times New Roman"/>
        <charset val="134"/>
      </rPr>
      <t>2020</t>
    </r>
    <r>
      <rPr>
        <b/>
        <sz val="12"/>
        <color indexed="8"/>
        <rFont val="宋体"/>
        <charset val="134"/>
      </rPr>
      <t>年上报数</t>
    </r>
  </si>
  <si>
    <r>
      <rPr>
        <b/>
        <sz val="12"/>
        <color theme="1"/>
        <rFont val="Times New Roman"/>
        <charset val="134"/>
      </rPr>
      <t>2020</t>
    </r>
    <r>
      <rPr>
        <b/>
        <sz val="12"/>
        <color indexed="8"/>
        <rFont val="宋体"/>
        <charset val="134"/>
      </rPr>
      <t>年核减数</t>
    </r>
  </si>
  <si>
    <r>
      <rPr>
        <b/>
        <sz val="12"/>
        <rFont val="Times New Roman"/>
        <charset val="134"/>
      </rPr>
      <t>2020</t>
    </r>
    <r>
      <rPr>
        <b/>
        <sz val="12"/>
        <rFont val="宋体"/>
        <charset val="134"/>
      </rPr>
      <t>年核定数</t>
    </r>
  </si>
  <si>
    <r>
      <rPr>
        <b/>
        <sz val="12"/>
        <color theme="1"/>
        <rFont val="Times New Roman"/>
        <charset val="134"/>
      </rPr>
      <t>2021</t>
    </r>
    <r>
      <rPr>
        <b/>
        <sz val="12"/>
        <color indexed="8"/>
        <rFont val="宋体"/>
        <charset val="134"/>
      </rPr>
      <t>年上报数</t>
    </r>
  </si>
  <si>
    <r>
      <rPr>
        <b/>
        <sz val="12"/>
        <color theme="1"/>
        <rFont val="Times New Roman"/>
        <charset val="134"/>
      </rPr>
      <t>2021</t>
    </r>
    <r>
      <rPr>
        <b/>
        <sz val="12"/>
        <color indexed="8"/>
        <rFont val="宋体"/>
        <charset val="134"/>
      </rPr>
      <t>年核减数</t>
    </r>
  </si>
  <si>
    <r>
      <rPr>
        <b/>
        <sz val="12"/>
        <rFont val="Times New Roman"/>
        <charset val="134"/>
      </rPr>
      <t>2021</t>
    </r>
    <r>
      <rPr>
        <b/>
        <sz val="12"/>
        <rFont val="宋体"/>
        <charset val="134"/>
      </rPr>
      <t>年核定数</t>
    </r>
  </si>
  <si>
    <t>2019年郡祁学校固定资产折旧核定表</t>
  </si>
  <si>
    <t>2020年郡祁学校固定资产折旧核定表</t>
  </si>
  <si>
    <t>2021年郡祁学校固定资产折旧核定表</t>
  </si>
  <si>
    <t>2021年学校固定资产折旧计算表</t>
  </si>
  <si>
    <r>
      <rPr>
        <b/>
        <sz val="12"/>
        <color indexed="8"/>
        <rFont val="宋体"/>
        <charset val="134"/>
      </rPr>
      <t>项</t>
    </r>
    <r>
      <rPr>
        <b/>
        <sz val="12"/>
        <color indexed="8"/>
        <rFont val="Times New Roman"/>
        <charset val="134"/>
      </rPr>
      <t xml:space="preserve"> </t>
    </r>
    <r>
      <rPr>
        <b/>
        <sz val="12"/>
        <color indexed="8"/>
        <rFont val="宋体"/>
        <charset val="134"/>
      </rPr>
      <t>目</t>
    </r>
  </si>
  <si>
    <r>
      <rPr>
        <b/>
        <sz val="12"/>
        <rFont val="宋体"/>
        <charset val="134"/>
      </rPr>
      <t>原值</t>
    </r>
  </si>
  <si>
    <r>
      <rPr>
        <b/>
        <sz val="12"/>
        <rFont val="宋体"/>
        <charset val="134"/>
      </rPr>
      <t>折旧年限</t>
    </r>
  </si>
  <si>
    <r>
      <rPr>
        <b/>
        <sz val="12"/>
        <rFont val="宋体"/>
        <charset val="134"/>
      </rPr>
      <t>残值率</t>
    </r>
  </si>
  <si>
    <r>
      <rPr>
        <b/>
        <sz val="12"/>
        <rFont val="宋体"/>
        <charset val="134"/>
      </rPr>
      <t>年折旧额</t>
    </r>
  </si>
  <si>
    <r>
      <rPr>
        <b/>
        <sz val="12"/>
        <rFont val="宋体"/>
        <charset val="134"/>
      </rPr>
      <t>固定资产年末总值（元）</t>
    </r>
  </si>
  <si>
    <r>
      <rPr>
        <sz val="12"/>
        <rFont val="Times New Roman"/>
        <charset val="134"/>
      </rPr>
      <t>3-5</t>
    </r>
    <r>
      <rPr>
        <sz val="12"/>
        <rFont val="宋体"/>
        <charset val="134"/>
      </rPr>
      <t>年</t>
    </r>
  </si>
  <si>
    <r>
      <rPr>
        <b/>
        <sz val="12"/>
        <rFont val="宋体"/>
        <charset val="134"/>
      </rPr>
      <t>一、房屋及构筑物</t>
    </r>
  </si>
  <si>
    <r>
      <rPr>
        <sz val="12"/>
        <color rgb="FF000000"/>
        <rFont val="Times New Roman"/>
        <charset val="134"/>
      </rPr>
      <t>1.</t>
    </r>
    <r>
      <rPr>
        <sz val="12"/>
        <color indexed="8"/>
        <rFont val="宋体"/>
        <charset val="134"/>
      </rPr>
      <t>房屋</t>
    </r>
  </si>
  <si>
    <t>按照计提固定构筑物的原值（计提）折旧，按照年平均学生人数占设计办学规模人数的比例折算后计入教育培养成本，本年度学生总数为203人，设计为6000人，按照703万年均房屋折旧为237848.33元，（包括所有建筑）</t>
  </si>
  <si>
    <t>按照计提固定构筑物的原值（计提）折旧，按照年平均学生人数占设计办学规模人数的比例折算后计入教育培养成本，本年度学生总数为964人，设计为6000人，按照703万年均房屋折旧为1129486.67元，（包括所有建筑）</t>
  </si>
  <si>
    <t>按照计提固定构筑物的原值（计提）折旧，按照年平均学生人数占设计办学规模人数的比例折算后计入教育培养成本，本年度学生总数为1504人，设计为6000人，按照703万年均房屋折旧为1762186.67元，（包括所有建筑）</t>
  </si>
  <si>
    <r>
      <rPr>
        <sz val="12"/>
        <color rgb="FF000000"/>
        <rFont val="Times New Roman"/>
        <charset val="134"/>
      </rPr>
      <t>2.</t>
    </r>
    <r>
      <rPr>
        <sz val="12"/>
        <color indexed="8"/>
        <rFont val="宋体"/>
        <charset val="134"/>
      </rPr>
      <t>简易房</t>
    </r>
  </si>
  <si>
    <r>
      <rPr>
        <sz val="12"/>
        <color rgb="FF000000"/>
        <rFont val="Times New Roman"/>
        <charset val="134"/>
      </rPr>
      <t>3.</t>
    </r>
    <r>
      <rPr>
        <sz val="12"/>
        <color indexed="8"/>
        <rFont val="宋体"/>
        <charset val="134"/>
      </rPr>
      <t>房屋附属设施</t>
    </r>
  </si>
  <si>
    <r>
      <rPr>
        <sz val="12"/>
        <color rgb="FF000000"/>
        <rFont val="Times New Roman"/>
        <charset val="134"/>
      </rPr>
      <t>4.</t>
    </r>
    <r>
      <rPr>
        <sz val="12"/>
        <color indexed="8"/>
        <rFont val="宋体"/>
        <charset val="134"/>
      </rPr>
      <t>构筑物</t>
    </r>
  </si>
  <si>
    <t>二、设备</t>
  </si>
  <si>
    <r>
      <rPr>
        <b/>
        <sz val="12"/>
        <color indexed="8"/>
        <rFont val="宋体"/>
        <charset val="134"/>
      </rPr>
      <t>二、通用设备</t>
    </r>
  </si>
  <si>
    <t>郡祁学校</t>
  </si>
  <si>
    <r>
      <rPr>
        <sz val="12"/>
        <color rgb="FF000000"/>
        <rFont val="Times New Roman"/>
        <charset val="134"/>
      </rPr>
      <t>1.</t>
    </r>
    <r>
      <rPr>
        <sz val="12"/>
        <color indexed="8"/>
        <rFont val="宋体"/>
        <charset val="134"/>
      </rPr>
      <t>计算机设备</t>
    </r>
  </si>
  <si>
    <t>郡祁高级中学有限公司</t>
  </si>
  <si>
    <r>
      <rPr>
        <sz val="12"/>
        <color rgb="FF000000"/>
        <rFont val="Times New Roman"/>
        <charset val="134"/>
      </rPr>
      <t>2.</t>
    </r>
    <r>
      <rPr>
        <sz val="12"/>
        <color indexed="8"/>
        <rFont val="宋体"/>
        <charset val="134"/>
      </rPr>
      <t>办公设备</t>
    </r>
  </si>
  <si>
    <r>
      <rPr>
        <sz val="12"/>
        <color rgb="FF000000"/>
        <rFont val="Times New Roman"/>
        <charset val="134"/>
      </rPr>
      <t>3.</t>
    </r>
    <r>
      <rPr>
        <sz val="12"/>
        <color indexed="8"/>
        <rFont val="宋体"/>
        <charset val="134"/>
      </rPr>
      <t>车辆</t>
    </r>
  </si>
  <si>
    <t>按固定资产年末总值计算，取设备平均折旧年限6年，认定残值率为5%。按照年平均学生人数占总平均（+高中）学生人数的比例折算后计入教育培养成本，2019年没有高中学生，固定资产折旧全部计入定价成本</t>
  </si>
  <si>
    <t>按固定资产年末总值计算，取设备平均折旧年限6年，认定残值率为5%。按照年平均学生人数占总平均（+高中）学生人数的比例折算后计入教育培养成本，本年度学生总数为964人，实际为1078人（+高中教育），按照2163232.91元，年均设备折旧=2163232.91×964÷1078=1782212.78元，（公摊所有设备）</t>
  </si>
  <si>
    <t>按固定资产年末总值计算，取设备平均折旧年限6年，认定残值率为5%。按照年平均学生人数占总平均（+高中）学生人数的比例折算后计入教育培养成本，本年度学生总数为1504人，实际人数2034人，年均设备折旧=2711087.83×1504÷2034=2004658.85元（公摊所有设备）</t>
  </si>
  <si>
    <r>
      <rPr>
        <sz val="12"/>
        <color rgb="FF000000"/>
        <rFont val="Times New Roman"/>
        <charset val="134"/>
      </rPr>
      <t>4.</t>
    </r>
    <r>
      <rPr>
        <sz val="12"/>
        <color indexed="8"/>
        <rFont val="宋体"/>
        <charset val="134"/>
      </rPr>
      <t>图书档案设备</t>
    </r>
  </si>
  <si>
    <r>
      <rPr>
        <sz val="12"/>
        <color rgb="FF000000"/>
        <rFont val="Times New Roman"/>
        <charset val="134"/>
      </rPr>
      <t>5.</t>
    </r>
    <r>
      <rPr>
        <sz val="12"/>
        <color indexed="8"/>
        <rFont val="宋体"/>
        <charset val="134"/>
      </rPr>
      <t>机械设备</t>
    </r>
  </si>
  <si>
    <r>
      <rPr>
        <sz val="12"/>
        <color rgb="FF000000"/>
        <rFont val="Times New Roman"/>
        <charset val="134"/>
      </rPr>
      <t>6.</t>
    </r>
    <r>
      <rPr>
        <sz val="12"/>
        <color indexed="8"/>
        <rFont val="宋体"/>
        <charset val="134"/>
      </rPr>
      <t>电气设备</t>
    </r>
  </si>
  <si>
    <t>三、按照事业收入项目分摊的固定资产折旧</t>
  </si>
  <si>
    <t>分摊金额（元）</t>
  </si>
  <si>
    <r>
      <rPr>
        <sz val="12"/>
        <color rgb="FF000000"/>
        <rFont val="Times New Roman"/>
        <charset val="134"/>
      </rPr>
      <t>7.</t>
    </r>
    <r>
      <rPr>
        <sz val="12"/>
        <color indexed="8"/>
        <rFont val="宋体"/>
        <charset val="134"/>
      </rPr>
      <t>通信设备</t>
    </r>
  </si>
  <si>
    <t>分摊总额</t>
  </si>
  <si>
    <t>237848.33+536060.14</t>
  </si>
  <si>
    <t>1129486.67+2163232.91</t>
  </si>
  <si>
    <t>1762186.67+2711087.83</t>
  </si>
  <si>
    <r>
      <rPr>
        <sz val="12"/>
        <color rgb="FF000000"/>
        <rFont val="Times New Roman"/>
        <charset val="134"/>
      </rPr>
      <t>8.</t>
    </r>
    <r>
      <rPr>
        <sz val="12"/>
        <color indexed="8"/>
        <rFont val="宋体"/>
        <charset val="134"/>
      </rPr>
      <t>广播、电视、电影设备</t>
    </r>
  </si>
  <si>
    <t>学费占比</t>
  </si>
  <si>
    <r>
      <rPr>
        <sz val="12"/>
        <color rgb="FF000000"/>
        <rFont val="Times New Roman"/>
        <charset val="134"/>
      </rPr>
      <t>9.</t>
    </r>
    <r>
      <rPr>
        <sz val="12"/>
        <color indexed="8"/>
        <rFont val="宋体"/>
        <charset val="134"/>
      </rPr>
      <t>仪器仪表</t>
    </r>
  </si>
  <si>
    <t>住宿费占比</t>
  </si>
  <si>
    <r>
      <rPr>
        <sz val="12"/>
        <color rgb="FF000000"/>
        <rFont val="Times New Roman"/>
        <charset val="134"/>
      </rPr>
      <t>10.</t>
    </r>
    <r>
      <rPr>
        <sz val="12"/>
        <color indexed="8"/>
        <rFont val="宋体"/>
        <charset val="134"/>
      </rPr>
      <t>电子和通信测量设备、</t>
    </r>
  </si>
  <si>
    <t>服务费占比</t>
  </si>
  <si>
    <r>
      <rPr>
        <sz val="11"/>
        <color rgb="FF000000"/>
        <rFont val="Times New Roman"/>
        <charset val="134"/>
      </rPr>
      <t>11.</t>
    </r>
    <r>
      <rPr>
        <sz val="11"/>
        <color indexed="8"/>
        <rFont val="宋体"/>
        <charset val="134"/>
      </rPr>
      <t>计量标准器具及量具、衡器</t>
    </r>
  </si>
  <si>
    <r>
      <rPr>
        <b/>
        <sz val="12"/>
        <color indexed="8"/>
        <rFont val="宋体"/>
        <charset val="134"/>
      </rPr>
      <t>三、专用设备</t>
    </r>
  </si>
  <si>
    <r>
      <rPr>
        <sz val="12"/>
        <rFont val="Times New Roman"/>
        <charset val="134"/>
      </rPr>
      <t>3</t>
    </r>
    <r>
      <rPr>
        <sz val="12"/>
        <rFont val="宋体"/>
        <charset val="134"/>
      </rPr>
      <t>年</t>
    </r>
  </si>
  <si>
    <r>
      <rPr>
        <sz val="12"/>
        <color rgb="FF000000"/>
        <rFont val="Times New Roman"/>
        <charset val="134"/>
      </rPr>
      <t>1.</t>
    </r>
    <r>
      <rPr>
        <sz val="12"/>
        <color indexed="8"/>
        <rFont val="宋体"/>
        <charset val="134"/>
      </rPr>
      <t>专用仪器仪表</t>
    </r>
  </si>
  <si>
    <r>
      <rPr>
        <sz val="12"/>
        <color rgb="FF000000"/>
        <rFont val="Times New Roman"/>
        <charset val="134"/>
      </rPr>
      <t>2.</t>
    </r>
    <r>
      <rPr>
        <sz val="12"/>
        <color indexed="8"/>
        <rFont val="宋体"/>
        <charset val="134"/>
      </rPr>
      <t>文艺设备</t>
    </r>
  </si>
  <si>
    <r>
      <rPr>
        <sz val="12"/>
        <color rgb="FF000000"/>
        <rFont val="Times New Roman"/>
        <charset val="134"/>
      </rPr>
      <t>3.</t>
    </r>
    <r>
      <rPr>
        <sz val="12"/>
        <color indexed="8"/>
        <rFont val="宋体"/>
        <charset val="134"/>
      </rPr>
      <t>体育设备</t>
    </r>
  </si>
  <si>
    <r>
      <rPr>
        <sz val="12"/>
        <color rgb="FF000000"/>
        <rFont val="Times New Roman"/>
        <charset val="134"/>
      </rPr>
      <t>4.</t>
    </r>
    <r>
      <rPr>
        <sz val="12"/>
        <color indexed="8"/>
        <rFont val="宋体"/>
        <charset val="134"/>
      </rPr>
      <t>娱乐设备</t>
    </r>
  </si>
  <si>
    <r>
      <rPr>
        <sz val="12"/>
        <color rgb="FF000000"/>
        <rFont val="Times New Roman"/>
        <charset val="134"/>
      </rPr>
      <t>5.</t>
    </r>
    <r>
      <rPr>
        <sz val="12"/>
        <color indexed="8"/>
        <rFont val="宋体"/>
        <charset val="134"/>
      </rPr>
      <t>公安专用设备</t>
    </r>
  </si>
  <si>
    <r>
      <rPr>
        <sz val="12"/>
        <color rgb="FF000000"/>
        <rFont val="Times New Roman"/>
        <charset val="134"/>
      </rPr>
      <t>6.</t>
    </r>
    <r>
      <rPr>
        <sz val="12"/>
        <color indexed="8"/>
        <rFont val="宋体"/>
        <charset val="134"/>
      </rPr>
      <t>其他专用设备</t>
    </r>
  </si>
  <si>
    <r>
      <rPr>
        <b/>
        <sz val="12"/>
        <color indexed="8"/>
        <rFont val="宋体"/>
        <charset val="134"/>
      </rPr>
      <t>四、家具、用具及装具</t>
    </r>
  </si>
  <si>
    <r>
      <rPr>
        <sz val="12"/>
        <color rgb="FF000000"/>
        <rFont val="Times New Roman"/>
        <charset val="134"/>
      </rPr>
      <t>1.</t>
    </r>
    <r>
      <rPr>
        <sz val="12"/>
        <color indexed="8"/>
        <rFont val="宋体"/>
        <charset val="134"/>
      </rPr>
      <t>家具</t>
    </r>
  </si>
  <si>
    <t>其中：学生用家具（教学用）</t>
  </si>
  <si>
    <r>
      <rPr>
        <sz val="12"/>
        <color rgb="FF000000"/>
        <rFont val="Times New Roman"/>
        <charset val="134"/>
      </rPr>
      <t>2.</t>
    </r>
    <r>
      <rPr>
        <sz val="12"/>
        <color indexed="8"/>
        <rFont val="宋体"/>
        <charset val="134"/>
      </rPr>
      <t>用具和装具</t>
    </r>
  </si>
  <si>
    <t>承 诺 书</t>
  </si>
  <si>
    <r>
      <rPr>
        <sz val="15"/>
        <color theme="1"/>
        <rFont val="Times New Roman"/>
        <charset val="134"/>
      </rPr>
      <t xml:space="preserve">        </t>
    </r>
    <r>
      <rPr>
        <sz val="15"/>
        <color theme="1"/>
        <rFont val="宋体"/>
        <charset val="134"/>
      </rPr>
      <t>根据《政府制定价格成本监审办法》（国家发展和改革委员会第</t>
    </r>
    <r>
      <rPr>
        <sz val="15"/>
        <color theme="1"/>
        <rFont val="Times New Roman"/>
        <charset val="134"/>
      </rPr>
      <t>8</t>
    </r>
    <r>
      <rPr>
        <sz val="15"/>
        <color theme="1"/>
        <rFont val="宋体"/>
        <charset val="134"/>
      </rPr>
      <t>号令）的要求，我校就湖南省民办中小学校教育培养定价成本监审所提供的成本费用资料及数据郑重承诺如下：</t>
    </r>
  </si>
  <si>
    <t xml:space="preserve">    一、提供的成本所需资料、数据是合法、真实、完整的；</t>
  </si>
  <si>
    <t xml:space="preserve">    二、如因我校提供的资料不合法、不真实、不完整引起的一切后果，由本校自行承担。</t>
  </si>
  <si>
    <r>
      <rPr>
        <sz val="15"/>
        <color theme="1"/>
        <rFont val="Times New Roman"/>
        <charset val="134"/>
      </rPr>
      <t xml:space="preserve">                                                    </t>
    </r>
    <r>
      <rPr>
        <sz val="15"/>
        <color theme="1"/>
        <rFont val="宋体"/>
        <charset val="134"/>
      </rPr>
      <t>财务负责人员（签字）：</t>
    </r>
  </si>
  <si>
    <t xml:space="preserve">                              法人代表（签字）：</t>
  </si>
  <si>
    <r>
      <rPr>
        <sz val="15"/>
        <color theme="1"/>
        <rFont val="Times New Roman"/>
        <charset val="134"/>
      </rPr>
      <t xml:space="preserve">                                   </t>
    </r>
    <r>
      <rPr>
        <sz val="15"/>
        <color theme="1"/>
        <rFont val="宋体"/>
        <charset val="134"/>
      </rPr>
      <t>年</t>
    </r>
    <r>
      <rPr>
        <sz val="15"/>
        <color theme="1"/>
        <rFont val="Times New Roman"/>
        <charset val="134"/>
      </rPr>
      <t xml:space="preserve">     </t>
    </r>
    <r>
      <rPr>
        <sz val="15"/>
        <color theme="1"/>
        <rFont val="宋体"/>
        <charset val="134"/>
      </rPr>
      <t>月</t>
    </r>
    <r>
      <rPr>
        <sz val="16"/>
        <color theme="1"/>
        <rFont val="Times New Roman"/>
        <charset val="134"/>
      </rPr>
      <t xml:space="preserve">     </t>
    </r>
    <r>
      <rPr>
        <sz val="16"/>
        <color theme="1"/>
        <rFont val="宋体"/>
        <charset val="134"/>
      </rPr>
      <t>日</t>
    </r>
  </si>
</sst>
</file>

<file path=xl/styles.xml><?xml version="1.0" encoding="utf-8"?>
<styleSheet xmlns="http://schemas.openxmlformats.org/spreadsheetml/2006/main" xmlns:xr9="http://schemas.microsoft.com/office/spreadsheetml/2016/revision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 numFmtId="178" formatCode="#,##0.00_ "/>
    <numFmt numFmtId="179" formatCode="0_ "/>
    <numFmt numFmtId="180" formatCode="#,##0.00_);[Red]\(#,##0.00\)"/>
    <numFmt numFmtId="181" formatCode="0_);[Red]\(0\)"/>
  </numFmts>
  <fonts count="59">
    <font>
      <sz val="11"/>
      <color theme="1"/>
      <name val="宋体"/>
      <charset val="134"/>
      <scheme val="minor"/>
    </font>
    <font>
      <b/>
      <sz val="26"/>
      <color theme="1"/>
      <name val="方正黑体_GBK"/>
      <charset val="134"/>
    </font>
    <font>
      <sz val="15"/>
      <color theme="1"/>
      <name val="宋体"/>
      <charset val="134"/>
    </font>
    <font>
      <sz val="15"/>
      <color theme="1"/>
      <name val="Calibri"/>
      <charset val="134"/>
    </font>
    <font>
      <sz val="15"/>
      <color theme="1"/>
      <name val="Times New Roman"/>
      <charset val="134"/>
    </font>
    <font>
      <b/>
      <sz val="20"/>
      <color rgb="FF000000"/>
      <name val="方正小标宋简体"/>
      <charset val="134"/>
    </font>
    <font>
      <b/>
      <sz val="12"/>
      <color rgb="FF000000"/>
      <name val="Times New Roman"/>
      <charset val="134"/>
    </font>
    <font>
      <b/>
      <sz val="12"/>
      <name val="Times New Roman"/>
      <charset val="134"/>
    </font>
    <font>
      <sz val="12"/>
      <name val="Times New Roman"/>
      <charset val="134"/>
    </font>
    <font>
      <sz val="12"/>
      <color rgb="FF000000"/>
      <name val="Times New Roman"/>
      <charset val="134"/>
    </font>
    <font>
      <sz val="12"/>
      <color rgb="FF000000"/>
      <name val="宋体"/>
      <charset val="134"/>
    </font>
    <font>
      <b/>
      <sz val="12"/>
      <color indexed="8"/>
      <name val="宋体"/>
      <charset val="134"/>
    </font>
    <font>
      <sz val="12"/>
      <name val="宋体"/>
      <charset val="134"/>
    </font>
    <font>
      <sz val="11"/>
      <color rgb="FF000000"/>
      <name val="宋体"/>
      <charset val="134"/>
    </font>
    <font>
      <sz val="11"/>
      <color indexed="8"/>
      <name val="宋体"/>
      <charset val="134"/>
    </font>
    <font>
      <sz val="11"/>
      <color rgb="FF000000"/>
      <name val="Times New Roman"/>
      <charset val="134"/>
    </font>
    <font>
      <b/>
      <sz val="20"/>
      <name val="方正小标宋简体"/>
      <charset val="134"/>
    </font>
    <font>
      <b/>
      <sz val="12"/>
      <color theme="1"/>
      <name val="Times New Roman"/>
      <charset val="134"/>
    </font>
    <font>
      <b/>
      <sz val="11"/>
      <color theme="1"/>
      <name val="宋体"/>
      <charset val="134"/>
      <scheme val="minor"/>
    </font>
    <font>
      <sz val="11"/>
      <color theme="1"/>
      <name val="宋体"/>
      <charset val="134"/>
      <scheme val="minor"/>
    </font>
    <font>
      <b/>
      <sz val="12"/>
      <color rgb="FFFF0000"/>
      <name val="宋体"/>
      <charset val="134"/>
    </font>
    <font>
      <sz val="18"/>
      <color theme="1"/>
      <name val="宋体"/>
      <charset val="134"/>
      <scheme val="minor"/>
    </font>
    <font>
      <b/>
      <sz val="12"/>
      <name val="宋体"/>
      <charset val="134"/>
    </font>
    <font>
      <sz val="16"/>
      <name val="Times New Roman"/>
      <charset val="134"/>
    </font>
    <font>
      <b/>
      <sz val="10"/>
      <name val="Times New Roman"/>
      <charset val="134"/>
    </font>
    <font>
      <b/>
      <sz val="12"/>
      <color rgb="FFFF0000"/>
      <name val="Times New Roman"/>
      <charset val="134"/>
    </font>
    <font>
      <sz val="12"/>
      <color indexed="8"/>
      <name val="Times New Roman"/>
      <charset val="134"/>
    </font>
    <font>
      <b/>
      <sz val="12"/>
      <color indexed="8"/>
      <name val="Times New Roman"/>
      <charset val="134"/>
    </font>
    <font>
      <sz val="16"/>
      <name val="黑体"/>
      <charset val="134"/>
    </font>
    <font>
      <sz val="10"/>
      <name val="Times New Roman"/>
      <charset val="134"/>
    </font>
    <font>
      <sz val="11"/>
      <color rgb="FFFF0000"/>
      <name val="宋体"/>
      <charset val="134"/>
      <scheme val="minor"/>
    </font>
    <font>
      <sz val="12"/>
      <color theme="1"/>
      <name val="宋体"/>
      <charset val="134"/>
    </font>
    <font>
      <sz val="16"/>
      <color rgb="FF000000"/>
      <name val="方正楷体简体"/>
      <charset val="134"/>
    </font>
    <font>
      <sz val="12"/>
      <name val="Calibri"/>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6"/>
      <color theme="1"/>
      <name val="Times New Roman"/>
      <charset val="134"/>
    </font>
    <font>
      <sz val="16"/>
      <color theme="1"/>
      <name val="宋体"/>
      <charset val="134"/>
    </font>
    <font>
      <sz val="12"/>
      <color indexed="8"/>
      <name val="宋体"/>
      <charset val="134"/>
    </font>
    <font>
      <sz val="16"/>
      <name val="宋体"/>
      <charset val="134"/>
    </font>
    <font>
      <b/>
      <sz val="9"/>
      <name val="宋体"/>
      <charset val="134"/>
    </font>
    <font>
      <sz val="9"/>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auto="1"/>
      </bottom>
      <diagonal/>
    </border>
    <border>
      <left/>
      <right/>
      <top/>
      <bottom style="medium">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0" fillId="3" borderId="18" applyNumberFormat="0" applyFont="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19" applyNumberFormat="0" applyFill="0" applyAlignment="0" applyProtection="0">
      <alignment vertical="center"/>
    </xf>
    <xf numFmtId="0" fontId="40" fillId="0" borderId="19" applyNumberFormat="0" applyFill="0" applyAlignment="0" applyProtection="0">
      <alignment vertical="center"/>
    </xf>
    <xf numFmtId="0" fontId="41" fillId="0" borderId="20" applyNumberFormat="0" applyFill="0" applyAlignment="0" applyProtection="0">
      <alignment vertical="center"/>
    </xf>
    <xf numFmtId="0" fontId="41" fillId="0" borderId="0" applyNumberFormat="0" applyFill="0" applyBorder="0" applyAlignment="0" applyProtection="0">
      <alignment vertical="center"/>
    </xf>
    <xf numFmtId="0" fontId="42" fillId="4" borderId="21" applyNumberFormat="0" applyAlignment="0" applyProtection="0">
      <alignment vertical="center"/>
    </xf>
    <xf numFmtId="0" fontId="43" fillId="5" borderId="22" applyNumberFormat="0" applyAlignment="0" applyProtection="0">
      <alignment vertical="center"/>
    </xf>
    <xf numFmtId="0" fontId="44" fillId="5" borderId="21" applyNumberFormat="0" applyAlignment="0" applyProtection="0">
      <alignment vertical="center"/>
    </xf>
    <xf numFmtId="0" fontId="45" fillId="6" borderId="23" applyNumberFormat="0" applyAlignment="0" applyProtection="0">
      <alignment vertical="center"/>
    </xf>
    <xf numFmtId="0" fontId="46" fillId="0" borderId="24" applyNumberFormat="0" applyFill="0" applyAlignment="0" applyProtection="0">
      <alignment vertical="center"/>
    </xf>
    <xf numFmtId="0" fontId="47" fillId="0" borderId="25" applyNumberFormat="0" applyFill="0" applyAlignment="0" applyProtection="0">
      <alignment vertical="center"/>
    </xf>
    <xf numFmtId="0" fontId="48" fillId="7" borderId="0" applyNumberFormat="0" applyBorder="0" applyAlignment="0" applyProtection="0">
      <alignment vertical="center"/>
    </xf>
    <xf numFmtId="0" fontId="49" fillId="8" borderId="0" applyNumberFormat="0" applyBorder="0" applyAlignment="0" applyProtection="0">
      <alignment vertical="center"/>
    </xf>
    <xf numFmtId="0" fontId="50" fillId="9" borderId="0" applyNumberFormat="0" applyBorder="0" applyAlignment="0" applyProtection="0">
      <alignment vertical="center"/>
    </xf>
    <xf numFmtId="0" fontId="51" fillId="10" borderId="0" applyNumberFormat="0" applyBorder="0" applyAlignment="0" applyProtection="0">
      <alignment vertical="center"/>
    </xf>
    <xf numFmtId="0" fontId="52" fillId="11" borderId="0" applyNumberFormat="0" applyBorder="0" applyAlignment="0" applyProtection="0">
      <alignment vertical="center"/>
    </xf>
    <xf numFmtId="0" fontId="52" fillId="12" borderId="0" applyNumberFormat="0" applyBorder="0" applyAlignment="0" applyProtection="0">
      <alignment vertical="center"/>
    </xf>
    <xf numFmtId="0" fontId="51" fillId="13" borderId="0" applyNumberFormat="0" applyBorder="0" applyAlignment="0" applyProtection="0">
      <alignment vertical="center"/>
    </xf>
    <xf numFmtId="0" fontId="51" fillId="14" borderId="0" applyNumberFormat="0" applyBorder="0" applyAlignment="0" applyProtection="0">
      <alignment vertical="center"/>
    </xf>
    <xf numFmtId="0" fontId="52" fillId="15" borderId="0" applyNumberFormat="0" applyBorder="0" applyAlignment="0" applyProtection="0">
      <alignment vertical="center"/>
    </xf>
    <xf numFmtId="0" fontId="52" fillId="16" borderId="0" applyNumberFormat="0" applyBorder="0" applyAlignment="0" applyProtection="0">
      <alignment vertical="center"/>
    </xf>
    <xf numFmtId="0" fontId="51" fillId="17" borderId="0" applyNumberFormat="0" applyBorder="0" applyAlignment="0" applyProtection="0">
      <alignment vertical="center"/>
    </xf>
    <xf numFmtId="0" fontId="51" fillId="18" borderId="0" applyNumberFormat="0" applyBorder="0" applyAlignment="0" applyProtection="0">
      <alignment vertical="center"/>
    </xf>
    <xf numFmtId="0" fontId="52" fillId="19" borderId="0" applyNumberFormat="0" applyBorder="0" applyAlignment="0" applyProtection="0">
      <alignment vertical="center"/>
    </xf>
    <xf numFmtId="0" fontId="52" fillId="20" borderId="0" applyNumberFormat="0" applyBorder="0" applyAlignment="0" applyProtection="0">
      <alignment vertical="center"/>
    </xf>
    <xf numFmtId="0" fontId="51" fillId="21" borderId="0" applyNumberFormat="0" applyBorder="0" applyAlignment="0" applyProtection="0">
      <alignment vertical="center"/>
    </xf>
    <xf numFmtId="0" fontId="51" fillId="22"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1" fillId="25" borderId="0" applyNumberFormat="0" applyBorder="0" applyAlignment="0" applyProtection="0">
      <alignment vertical="center"/>
    </xf>
    <xf numFmtId="0" fontId="51" fillId="26" borderId="0" applyNumberFormat="0" applyBorder="0" applyAlignment="0" applyProtection="0">
      <alignment vertical="center"/>
    </xf>
    <xf numFmtId="0" fontId="52" fillId="27" borderId="0" applyNumberFormat="0" applyBorder="0" applyAlignment="0" applyProtection="0">
      <alignment vertical="center"/>
    </xf>
    <xf numFmtId="0" fontId="52" fillId="28" borderId="0" applyNumberFormat="0" applyBorder="0" applyAlignment="0" applyProtection="0">
      <alignment vertical="center"/>
    </xf>
    <xf numFmtId="0" fontId="51" fillId="29" borderId="0" applyNumberFormat="0" applyBorder="0" applyAlignment="0" applyProtection="0">
      <alignment vertical="center"/>
    </xf>
    <xf numFmtId="0" fontId="51" fillId="30" borderId="0" applyNumberFormat="0" applyBorder="0" applyAlignment="0" applyProtection="0">
      <alignment vertical="center"/>
    </xf>
    <xf numFmtId="0" fontId="52" fillId="31" borderId="0" applyNumberFormat="0" applyBorder="0" applyAlignment="0" applyProtection="0">
      <alignment vertical="center"/>
    </xf>
    <xf numFmtId="0" fontId="52" fillId="32" borderId="0" applyNumberFormat="0" applyBorder="0" applyAlignment="0" applyProtection="0">
      <alignment vertical="center"/>
    </xf>
    <xf numFmtId="0" fontId="51" fillId="33" borderId="0" applyNumberFormat="0" applyBorder="0" applyAlignment="0" applyProtection="0">
      <alignment vertical="center"/>
    </xf>
    <xf numFmtId="0" fontId="12" fillId="0" borderId="0">
      <alignment vertical="center"/>
    </xf>
    <xf numFmtId="0" fontId="12" fillId="0" borderId="0">
      <alignment vertical="center"/>
    </xf>
    <xf numFmtId="43" fontId="12" fillId="0" borderId="0" applyFont="0" applyFill="0" applyBorder="0" applyAlignment="0" applyProtection="0">
      <alignment vertical="center"/>
    </xf>
    <xf numFmtId="43" fontId="12" fillId="0" borderId="0" applyFont="0" applyFill="0" applyBorder="0" applyAlignment="0" applyProtection="0">
      <alignment vertical="center"/>
    </xf>
  </cellStyleXfs>
  <cellXfs count="186">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justify" vertical="center"/>
    </xf>
    <xf numFmtId="0" fontId="3" fillId="0" borderId="0" xfId="0" applyFont="1" applyAlignment="1">
      <alignment horizontal="justify" vertical="center"/>
    </xf>
    <xf numFmtId="0" fontId="4" fillId="0" borderId="0" xfId="0" applyFont="1" applyAlignment="1">
      <alignment horizontal="justify" vertical="center"/>
    </xf>
    <xf numFmtId="0" fontId="4" fillId="0" borderId="0" xfId="0" applyFont="1" applyAlignment="1">
      <alignment horizontal="center" vertical="center"/>
    </xf>
    <xf numFmtId="0" fontId="5" fillId="0" borderId="0" xfId="50" applyFont="1" applyAlignment="1">
      <alignment horizontal="center" vertical="center" wrapText="1"/>
    </xf>
    <xf numFmtId="0" fontId="6" fillId="0" borderId="1" xfId="50" applyFont="1" applyBorder="1" applyAlignment="1">
      <alignment horizontal="center" vertical="center" wrapText="1"/>
    </xf>
    <xf numFmtId="0" fontId="7" fillId="0" borderId="1" xfId="50" applyFont="1" applyBorder="1" applyAlignment="1">
      <alignment horizontal="center" vertical="center" wrapText="1"/>
    </xf>
    <xf numFmtId="0" fontId="7" fillId="0" borderId="1" xfId="50" applyFont="1" applyFill="1" applyBorder="1" applyAlignment="1" applyProtection="1">
      <alignment vertical="center" wrapText="1"/>
    </xf>
    <xf numFmtId="0" fontId="8" fillId="0" borderId="1" xfId="50" applyFont="1" applyBorder="1" applyAlignment="1">
      <alignment vertical="center" wrapText="1"/>
    </xf>
    <xf numFmtId="0" fontId="8" fillId="0" borderId="1" xfId="50" applyFont="1" applyBorder="1" applyAlignment="1">
      <alignment horizontal="center" vertical="center" wrapText="1"/>
    </xf>
    <xf numFmtId="9" fontId="8" fillId="0" borderId="1" xfId="50" applyNumberFormat="1" applyFont="1" applyBorder="1" applyAlignment="1">
      <alignment vertical="center" wrapText="1"/>
    </xf>
    <xf numFmtId="0" fontId="7" fillId="0" borderId="1" xfId="50" applyFont="1" applyFill="1" applyBorder="1" applyAlignment="1" applyProtection="1">
      <alignment horizontal="left" vertical="center" wrapText="1"/>
    </xf>
    <xf numFmtId="0" fontId="7" fillId="0" borderId="1" xfId="50" applyFont="1" applyBorder="1" applyAlignment="1">
      <alignment vertical="center" wrapText="1"/>
    </xf>
    <xf numFmtId="0" fontId="9" fillId="0" borderId="1" xfId="50" applyFont="1" applyBorder="1" applyAlignment="1">
      <alignment horizontal="justify" vertical="center" wrapText="1"/>
    </xf>
    <xf numFmtId="0" fontId="10" fillId="0" borderId="2" xfId="50" applyFont="1" applyBorder="1" applyAlignment="1">
      <alignment horizontal="center" vertical="center" wrapText="1"/>
    </xf>
    <xf numFmtId="0" fontId="9" fillId="0" borderId="3" xfId="50" applyFont="1" applyBorder="1" applyAlignment="1">
      <alignment horizontal="center" vertical="center" wrapText="1"/>
    </xf>
    <xf numFmtId="0" fontId="9" fillId="0" borderId="4" xfId="50" applyFont="1" applyBorder="1" applyAlignment="1">
      <alignment horizontal="center" vertical="center" wrapText="1"/>
    </xf>
    <xf numFmtId="0" fontId="9" fillId="0" borderId="5" xfId="50" applyFont="1" applyBorder="1" applyAlignment="1">
      <alignment horizontal="center" vertical="center" wrapText="1"/>
    </xf>
    <xf numFmtId="0" fontId="9" fillId="0" borderId="0" xfId="50" applyFont="1" applyBorder="1" applyAlignment="1">
      <alignment horizontal="center" vertical="center" wrapText="1"/>
    </xf>
    <xf numFmtId="0" fontId="9" fillId="0" borderId="6" xfId="50" applyFont="1" applyBorder="1" applyAlignment="1">
      <alignment horizontal="center" vertical="center" wrapText="1"/>
    </xf>
    <xf numFmtId="0" fontId="9" fillId="0" borderId="7" xfId="50" applyFont="1" applyBorder="1" applyAlignment="1">
      <alignment horizontal="center" vertical="center" wrapText="1"/>
    </xf>
    <xf numFmtId="0" fontId="9" fillId="0" borderId="8" xfId="50" applyFont="1" applyBorder="1" applyAlignment="1">
      <alignment horizontal="center" vertical="center" wrapText="1"/>
    </xf>
    <xf numFmtId="0" fontId="9" fillId="0" borderId="9" xfId="50" applyFont="1" applyBorder="1" applyAlignment="1">
      <alignment horizontal="center" vertical="center" wrapText="1"/>
    </xf>
    <xf numFmtId="0" fontId="11" fillId="0" borderId="1" xfId="50" applyFont="1" applyBorder="1" applyAlignment="1">
      <alignment horizontal="justify" vertical="center" wrapText="1"/>
    </xf>
    <xf numFmtId="0" fontId="10" fillId="0" borderId="1" xfId="50" applyFont="1" applyBorder="1" applyAlignment="1">
      <alignment horizontal="justify" vertical="center" wrapText="1"/>
    </xf>
    <xf numFmtId="0" fontId="9" fillId="0" borderId="2" xfId="50" applyFont="1" applyBorder="1" applyAlignment="1">
      <alignment horizontal="center" vertical="center" wrapText="1"/>
    </xf>
    <xf numFmtId="0" fontId="12" fillId="0" borderId="1" xfId="50" applyFont="1" applyBorder="1" applyAlignment="1">
      <alignment vertical="center" wrapText="1"/>
    </xf>
    <xf numFmtId="176" fontId="8" fillId="0" borderId="1" xfId="50" applyNumberFormat="1" applyFont="1" applyBorder="1" applyAlignment="1">
      <alignment vertical="center" wrapText="1"/>
    </xf>
    <xf numFmtId="177" fontId="8" fillId="0" borderId="1" xfId="50" applyNumberFormat="1" applyFont="1" applyBorder="1" applyAlignment="1">
      <alignment vertical="center" wrapText="1"/>
    </xf>
    <xf numFmtId="0" fontId="13" fillId="0" borderId="1" xfId="50" applyFont="1" applyBorder="1" applyAlignment="1">
      <alignment horizontal="justify" vertical="center" wrapText="1"/>
    </xf>
    <xf numFmtId="0" fontId="6" fillId="0" borderId="1" xfId="50" applyFont="1" applyBorder="1" applyAlignment="1">
      <alignment horizontal="justify" vertical="center" wrapText="1"/>
    </xf>
    <xf numFmtId="0" fontId="14" fillId="0" borderId="1" xfId="50" applyFont="1" applyBorder="1" applyAlignment="1">
      <alignment horizontal="justify" vertical="center" wrapText="1"/>
    </xf>
    <xf numFmtId="0" fontId="15" fillId="0" borderId="2" xfId="50" applyFont="1" applyBorder="1" applyAlignment="1">
      <alignment horizontal="center" vertical="center" wrapText="1"/>
    </xf>
    <xf numFmtId="0" fontId="15" fillId="0" borderId="3" xfId="50" applyFont="1" applyBorder="1" applyAlignment="1">
      <alignment horizontal="center" vertical="center" wrapText="1"/>
    </xf>
    <xf numFmtId="0" fontId="15" fillId="0" borderId="4" xfId="50" applyFont="1" applyBorder="1" applyAlignment="1">
      <alignment horizontal="center" vertical="center" wrapText="1"/>
    </xf>
    <xf numFmtId="0" fontId="15" fillId="0" borderId="5" xfId="50" applyFont="1" applyBorder="1" applyAlignment="1">
      <alignment horizontal="center" vertical="center" wrapText="1"/>
    </xf>
    <xf numFmtId="0" fontId="15" fillId="0" borderId="0" xfId="50" applyFont="1" applyBorder="1" applyAlignment="1">
      <alignment horizontal="center" vertical="center" wrapText="1"/>
    </xf>
    <xf numFmtId="0" fontId="15" fillId="0" borderId="6" xfId="50" applyFont="1" applyBorder="1" applyAlignment="1">
      <alignment horizontal="center" vertical="center" wrapText="1"/>
    </xf>
    <xf numFmtId="0" fontId="15" fillId="0" borderId="7" xfId="50" applyFont="1" applyBorder="1" applyAlignment="1">
      <alignment horizontal="center" vertical="center" wrapText="1"/>
    </xf>
    <xf numFmtId="0" fontId="15" fillId="0" borderId="8" xfId="50" applyFont="1" applyBorder="1" applyAlignment="1">
      <alignment horizontal="center" vertical="center" wrapText="1"/>
    </xf>
    <xf numFmtId="0" fontId="15" fillId="0" borderId="9" xfId="50" applyFont="1" applyBorder="1" applyAlignment="1">
      <alignment horizontal="center" vertical="center" wrapText="1"/>
    </xf>
    <xf numFmtId="0" fontId="15" fillId="0" borderId="1" xfId="50" applyFont="1" applyBorder="1" applyAlignment="1">
      <alignment horizontal="justify" vertical="center" wrapText="1"/>
    </xf>
    <xf numFmtId="0" fontId="16" fillId="0" borderId="0" xfId="49" applyFont="1" applyFill="1" applyBorder="1" applyAlignment="1">
      <alignment horizontal="center" vertical="center"/>
    </xf>
    <xf numFmtId="0" fontId="12" fillId="0" borderId="0" xfId="49" applyFont="1" applyFill="1" applyBorder="1" applyAlignment="1"/>
    <xf numFmtId="0" fontId="17" fillId="0" borderId="1" xfId="50" applyFont="1" applyFill="1" applyBorder="1" applyAlignment="1">
      <alignment horizontal="center" vertical="center"/>
    </xf>
    <xf numFmtId="43" fontId="17" fillId="0" borderId="1" xfId="51" applyNumberFormat="1" applyFont="1" applyFill="1" applyBorder="1" applyAlignment="1">
      <alignment horizontal="center" vertical="center"/>
    </xf>
    <xf numFmtId="43" fontId="7" fillId="0" borderId="1" xfId="51" applyNumberFormat="1" applyFont="1" applyFill="1" applyBorder="1" applyAlignment="1">
      <alignment horizontal="center" vertical="center"/>
    </xf>
    <xf numFmtId="0" fontId="18" fillId="0" borderId="1" xfId="0" applyFont="1" applyBorder="1" applyAlignment="1">
      <alignment horizontal="center" vertical="center"/>
    </xf>
    <xf numFmtId="0" fontId="8" fillId="0" borderId="1" xfId="50" applyFont="1" applyFill="1" applyBorder="1" applyAlignment="1">
      <alignment horizontal="left" vertical="center"/>
    </xf>
    <xf numFmtId="178" fontId="8" fillId="0" borderId="1" xfId="50" applyNumberFormat="1" applyFont="1" applyFill="1" applyBorder="1" applyAlignment="1">
      <alignment horizontal="center" vertical="center"/>
    </xf>
    <xf numFmtId="0" fontId="19" fillId="0" borderId="1" xfId="0" applyFont="1" applyBorder="1">
      <alignment vertical="center"/>
    </xf>
    <xf numFmtId="9" fontId="19" fillId="0" borderId="1" xfId="0" applyNumberFormat="1" applyFont="1" applyBorder="1">
      <alignment vertical="center"/>
    </xf>
    <xf numFmtId="0" fontId="12" fillId="0" borderId="1" xfId="50" applyFont="1" applyFill="1" applyBorder="1" applyAlignment="1">
      <alignment horizontal="left" vertical="center"/>
    </xf>
    <xf numFmtId="10" fontId="0" fillId="0" borderId="1" xfId="0" applyNumberFormat="1" applyBorder="1">
      <alignment vertical="center"/>
    </xf>
    <xf numFmtId="0" fontId="0" fillId="0" borderId="1" xfId="0" applyBorder="1">
      <alignment vertical="center"/>
    </xf>
    <xf numFmtId="9" fontId="0" fillId="0" borderId="1" xfId="0" applyNumberFormat="1" applyBorder="1">
      <alignment vertical="center"/>
    </xf>
    <xf numFmtId="178" fontId="0" fillId="0" borderId="1" xfId="0" applyNumberFormat="1" applyBorder="1">
      <alignment vertical="center"/>
    </xf>
    <xf numFmtId="0" fontId="12" fillId="0" borderId="10" xfId="50" applyFont="1" applyFill="1" applyBorder="1" applyAlignment="1">
      <alignment horizontal="left" vertical="center"/>
    </xf>
    <xf numFmtId="178" fontId="0" fillId="0" borderId="0" xfId="0" applyNumberFormat="1">
      <alignment vertical="center"/>
    </xf>
    <xf numFmtId="0" fontId="16" fillId="0" borderId="0" xfId="49" applyFont="1" applyAlignment="1">
      <alignment horizontal="center" vertical="center"/>
    </xf>
    <xf numFmtId="0" fontId="17" fillId="0" borderId="1" xfId="49" applyFont="1" applyFill="1" applyBorder="1" applyAlignment="1">
      <alignment horizontal="center" vertical="center" wrapText="1"/>
    </xf>
    <xf numFmtId="0" fontId="11" fillId="0" borderId="1" xfId="49" applyFont="1" applyFill="1" applyBorder="1" applyAlignment="1">
      <alignment horizontal="center" vertical="center" wrapText="1"/>
    </xf>
    <xf numFmtId="0" fontId="20" fillId="0" borderId="1" xfId="49" applyFont="1" applyFill="1" applyBorder="1" applyAlignment="1">
      <alignment horizontal="center" vertical="center" wrapText="1"/>
    </xf>
    <xf numFmtId="0" fontId="20" fillId="0" borderId="11" xfId="49" applyFont="1" applyFill="1" applyBorder="1" applyAlignment="1">
      <alignment horizontal="center" vertical="center" wrapText="1"/>
    </xf>
    <xf numFmtId="0" fontId="17" fillId="2" borderId="1" xfId="49" applyFont="1" applyFill="1" applyBorder="1" applyAlignment="1">
      <alignment horizontal="center" vertical="center"/>
    </xf>
    <xf numFmtId="179" fontId="17" fillId="0" borderId="12" xfId="49" applyNumberFormat="1" applyFont="1" applyFill="1" applyBorder="1" applyAlignment="1">
      <alignment horizontal="center" vertical="center" wrapText="1"/>
    </xf>
    <xf numFmtId="179" fontId="17" fillId="0" borderId="2" xfId="49" applyNumberFormat="1" applyFont="1" applyFill="1" applyBorder="1" applyAlignment="1">
      <alignment horizontal="center" vertical="center" wrapText="1"/>
    </xf>
    <xf numFmtId="0" fontId="18" fillId="0" borderId="1" xfId="0" applyFont="1" applyBorder="1">
      <alignment vertical="center"/>
    </xf>
    <xf numFmtId="0" fontId="12" fillId="2" borderId="1" xfId="49" applyFont="1" applyFill="1" applyBorder="1" applyAlignment="1" applyProtection="1">
      <alignment horizontal="left" vertical="center"/>
    </xf>
    <xf numFmtId="0" fontId="8" fillId="0" borderId="1" xfId="49" applyFont="1" applyBorder="1" applyAlignment="1">
      <alignment horizontal="center" vertical="center"/>
    </xf>
    <xf numFmtId="179" fontId="8" fillId="0" borderId="1" xfId="49" applyNumberFormat="1" applyFont="1" applyBorder="1" applyAlignment="1">
      <alignment horizontal="center" vertical="center"/>
    </xf>
    <xf numFmtId="179" fontId="8" fillId="0" borderId="1" xfId="49" applyNumberFormat="1" applyFont="1" applyFill="1" applyBorder="1" applyAlignment="1">
      <alignment horizontal="center" vertical="center"/>
    </xf>
    <xf numFmtId="0" fontId="8" fillId="0" borderId="1" xfId="49" applyFont="1" applyFill="1" applyBorder="1" applyAlignment="1">
      <alignment horizontal="center" vertical="center"/>
    </xf>
    <xf numFmtId="0" fontId="8" fillId="0" borderId="11" xfId="49" applyFont="1" applyFill="1" applyBorder="1" applyAlignment="1">
      <alignment horizontal="center" vertical="center"/>
    </xf>
    <xf numFmtId="0" fontId="8" fillId="2" borderId="1" xfId="49" applyFont="1" applyFill="1" applyBorder="1" applyAlignment="1" applyProtection="1">
      <alignment horizontal="left" vertical="center" indent="2"/>
    </xf>
    <xf numFmtId="178" fontId="9" fillId="2" borderId="1" xfId="49" applyNumberFormat="1" applyFont="1" applyFill="1" applyBorder="1" applyAlignment="1">
      <alignment horizontal="left" vertical="center"/>
    </xf>
    <xf numFmtId="178" fontId="10" fillId="2" borderId="1" xfId="49" applyNumberFormat="1" applyFont="1" applyFill="1" applyBorder="1" applyAlignment="1">
      <alignment horizontal="left" vertical="center"/>
    </xf>
    <xf numFmtId="0" fontId="8" fillId="0" borderId="12" xfId="49" applyFont="1" applyFill="1" applyBorder="1" applyAlignment="1">
      <alignment horizontal="center" vertical="center"/>
    </xf>
    <xf numFmtId="0" fontId="8" fillId="0" borderId="10" xfId="49" applyFont="1" applyFill="1" applyBorder="1" applyAlignment="1">
      <alignment horizontal="center" vertical="center"/>
    </xf>
    <xf numFmtId="0" fontId="8" fillId="0" borderId="13" xfId="49" applyFont="1" applyFill="1" applyBorder="1" applyAlignment="1">
      <alignment horizontal="center" vertical="center"/>
    </xf>
    <xf numFmtId="0" fontId="8" fillId="2" borderId="1" xfId="49" applyFont="1" applyFill="1" applyBorder="1">
      <alignment vertical="center"/>
    </xf>
    <xf numFmtId="0" fontId="8" fillId="0" borderId="1" xfId="49" applyFont="1" applyBorder="1">
      <alignment vertical="center"/>
    </xf>
    <xf numFmtId="0" fontId="21" fillId="0" borderId="1" xfId="0" applyFont="1" applyBorder="1" applyAlignment="1">
      <alignment horizontal="center" vertical="center"/>
    </xf>
    <xf numFmtId="0" fontId="0" fillId="0" borderId="1" xfId="0" applyBorder="1" applyAlignment="1">
      <alignment horizontal="center" vertical="center"/>
    </xf>
    <xf numFmtId="0" fontId="22" fillId="0" borderId="1" xfId="49" applyFont="1" applyBorder="1" applyAlignment="1">
      <alignment horizontal="center" vertical="center"/>
    </xf>
    <xf numFmtId="0" fontId="8" fillId="0" borderId="0" xfId="49" applyFont="1">
      <alignment vertical="center"/>
    </xf>
    <xf numFmtId="0" fontId="22" fillId="0" borderId="1" xfId="49" applyFont="1" applyBorder="1">
      <alignment vertical="center"/>
    </xf>
    <xf numFmtId="179" fontId="0" fillId="0" borderId="1" xfId="0" applyNumberFormat="1" applyBorder="1">
      <alignment vertical="center"/>
    </xf>
    <xf numFmtId="0" fontId="19" fillId="0" borderId="1" xfId="0" applyFont="1" applyFill="1" applyBorder="1">
      <alignment vertical="center"/>
    </xf>
    <xf numFmtId="0" fontId="23" fillId="0" borderId="0" xfId="49" applyFont="1" applyFill="1" applyAlignment="1" applyProtection="1">
      <alignment vertical="center" wrapText="1"/>
    </xf>
    <xf numFmtId="0" fontId="12" fillId="0" borderId="0" xfId="49">
      <alignment vertical="center"/>
    </xf>
    <xf numFmtId="0" fontId="16" fillId="0" borderId="0" xfId="49" applyFont="1" applyFill="1" applyAlignment="1" applyProtection="1">
      <alignment horizontal="center" vertical="center" wrapText="1"/>
    </xf>
    <xf numFmtId="0" fontId="24" fillId="0" borderId="8" xfId="49" applyFont="1" applyFill="1" applyBorder="1" applyAlignment="1" applyProtection="1">
      <alignment horizontal="left" vertical="center" wrapText="1"/>
    </xf>
    <xf numFmtId="0" fontId="22" fillId="0" borderId="11" xfId="49" applyFont="1" applyFill="1" applyBorder="1" applyAlignment="1" applyProtection="1">
      <alignment horizontal="center" vertical="center" wrapText="1"/>
    </xf>
    <xf numFmtId="0" fontId="7" fillId="0" borderId="1" xfId="49" applyFont="1" applyFill="1" applyBorder="1" applyAlignment="1" applyProtection="1">
      <alignment horizontal="center" vertical="center" wrapText="1"/>
    </xf>
    <xf numFmtId="0" fontId="22" fillId="0" borderId="11" xfId="49" applyFont="1" applyFill="1" applyBorder="1" applyAlignment="1" applyProtection="1">
      <alignment horizontal="left" vertical="center"/>
    </xf>
    <xf numFmtId="0" fontId="8" fillId="0" borderId="1" xfId="49" applyFont="1" applyFill="1" applyBorder="1" applyAlignment="1" applyProtection="1">
      <alignment horizontal="center" vertical="center" wrapText="1"/>
    </xf>
    <xf numFmtId="0" fontId="8" fillId="0" borderId="11" xfId="49" applyFont="1" applyFill="1" applyBorder="1" applyAlignment="1" applyProtection="1">
      <alignment vertical="center"/>
    </xf>
    <xf numFmtId="179" fontId="8" fillId="0" borderId="1" xfId="49" applyNumberFormat="1" applyFont="1" applyFill="1" applyBorder="1" applyAlignment="1" applyProtection="1">
      <alignment horizontal="center" vertical="center" wrapText="1"/>
    </xf>
    <xf numFmtId="0" fontId="22" fillId="0" borderId="11" xfId="49" applyFont="1" applyFill="1" applyBorder="1" applyAlignment="1" applyProtection="1">
      <alignment vertical="center"/>
    </xf>
    <xf numFmtId="10" fontId="8" fillId="0" borderId="1" xfId="49" applyNumberFormat="1" applyFont="1" applyFill="1" applyBorder="1" applyAlignment="1" applyProtection="1">
      <alignment horizontal="center" vertical="center" wrapText="1"/>
    </xf>
    <xf numFmtId="0" fontId="12" fillId="0" borderId="11" xfId="49" applyFont="1" applyFill="1" applyBorder="1" applyAlignment="1" applyProtection="1">
      <alignment vertical="center"/>
    </xf>
    <xf numFmtId="178" fontId="8" fillId="0" borderId="1" xfId="49" applyNumberFormat="1" applyFont="1" applyFill="1" applyBorder="1" applyAlignment="1" applyProtection="1">
      <alignment horizontal="center" vertical="center" wrapText="1"/>
    </xf>
    <xf numFmtId="180" fontId="7" fillId="0" borderId="1" xfId="49" applyNumberFormat="1" applyFont="1" applyFill="1" applyBorder="1" applyAlignment="1" applyProtection="1">
      <alignment horizontal="right" vertical="center" wrapText="1"/>
    </xf>
    <xf numFmtId="180" fontId="8" fillId="0" borderId="1" xfId="49" applyNumberFormat="1" applyFont="1" applyFill="1" applyBorder="1" applyAlignment="1" applyProtection="1">
      <alignment horizontal="right" vertical="center" wrapText="1"/>
    </xf>
    <xf numFmtId="0" fontId="8" fillId="0" borderId="11" xfId="49" applyFont="1" applyFill="1" applyBorder="1" applyAlignment="1" applyProtection="1">
      <alignment horizontal="left" vertical="center"/>
    </xf>
    <xf numFmtId="178" fontId="8" fillId="0" borderId="1" xfId="49" applyNumberFormat="1" applyFont="1" applyFill="1" applyBorder="1" applyAlignment="1" applyProtection="1">
      <alignment horizontal="right" vertical="center" wrapText="1"/>
    </xf>
    <xf numFmtId="181" fontId="8" fillId="0" borderId="11" xfId="49" applyNumberFormat="1" applyFont="1" applyFill="1" applyBorder="1" applyAlignment="1" applyProtection="1">
      <alignment horizontal="center" vertical="center" wrapText="1"/>
    </xf>
    <xf numFmtId="181" fontId="8" fillId="0" borderId="14" xfId="49" applyNumberFormat="1" applyFont="1" applyFill="1" applyBorder="1" applyAlignment="1" applyProtection="1">
      <alignment horizontal="center" vertical="center" wrapText="1"/>
    </xf>
    <xf numFmtId="181" fontId="8" fillId="0" borderId="15" xfId="49" applyNumberFormat="1" applyFont="1" applyFill="1" applyBorder="1" applyAlignment="1" applyProtection="1">
      <alignment horizontal="center" vertical="center" wrapText="1"/>
    </xf>
    <xf numFmtId="181" fontId="0" fillId="0" borderId="11" xfId="0" applyNumberFormat="1" applyBorder="1" applyAlignment="1">
      <alignment horizontal="center" vertical="center"/>
    </xf>
    <xf numFmtId="181" fontId="0" fillId="0" borderId="14" xfId="0" applyNumberFormat="1" applyBorder="1" applyAlignment="1">
      <alignment horizontal="center" vertical="center"/>
    </xf>
    <xf numFmtId="181" fontId="0" fillId="0" borderId="15" xfId="0" applyNumberFormat="1" applyBorder="1" applyAlignment="1">
      <alignment horizontal="center" vertical="center"/>
    </xf>
    <xf numFmtId="0" fontId="23" fillId="0" borderId="0" xfId="49" applyFont="1">
      <alignment vertical="center"/>
    </xf>
    <xf numFmtId="0" fontId="8" fillId="0" borderId="0" xfId="49" applyFont="1" applyAlignment="1">
      <alignment horizontal="center" vertical="center"/>
    </xf>
    <xf numFmtId="0" fontId="7" fillId="2" borderId="1" xfId="49" applyFont="1" applyFill="1" applyBorder="1" applyAlignment="1" applyProtection="1">
      <alignment horizontal="center" vertical="center"/>
    </xf>
    <xf numFmtId="0" fontId="20" fillId="2" borderId="1" xfId="49" applyFont="1" applyFill="1" applyBorder="1" applyAlignment="1" applyProtection="1">
      <alignment horizontal="center" vertical="center"/>
    </xf>
    <xf numFmtId="0" fontId="25" fillId="2" borderId="1" xfId="49" applyFont="1" applyFill="1" applyBorder="1" applyAlignment="1" applyProtection="1">
      <alignment horizontal="center" vertical="center"/>
    </xf>
    <xf numFmtId="0" fontId="7" fillId="2" borderId="1" xfId="49" applyFont="1" applyFill="1" applyBorder="1" applyAlignment="1" applyProtection="1">
      <alignment vertical="center"/>
    </xf>
    <xf numFmtId="0" fontId="7" fillId="2" borderId="1" xfId="49" applyFont="1" applyFill="1" applyBorder="1">
      <alignment vertical="center"/>
    </xf>
    <xf numFmtId="0" fontId="8" fillId="2" borderId="1" xfId="49" applyFont="1" applyFill="1" applyBorder="1" applyAlignment="1" applyProtection="1">
      <alignment horizontal="left" vertical="center" indent="1"/>
    </xf>
    <xf numFmtId="49" fontId="26" fillId="2" borderId="1" xfId="49" applyNumberFormat="1" applyFont="1" applyFill="1" applyBorder="1" applyAlignment="1" applyProtection="1">
      <alignment horizontal="left" vertical="center"/>
    </xf>
    <xf numFmtId="0" fontId="8" fillId="0" borderId="1" xfId="49" applyFont="1" applyFill="1" applyBorder="1">
      <alignment vertical="center"/>
    </xf>
    <xf numFmtId="49" fontId="27" fillId="2" borderId="1" xfId="49" applyNumberFormat="1" applyFont="1" applyFill="1" applyBorder="1" applyAlignment="1" applyProtection="1">
      <alignment horizontal="left" vertical="center"/>
    </xf>
    <xf numFmtId="0" fontId="7" fillId="2" borderId="1" xfId="49" applyFont="1" applyFill="1" applyBorder="1" applyAlignment="1" applyProtection="1">
      <alignment horizontal="left" vertical="center" wrapText="1"/>
    </xf>
    <xf numFmtId="0" fontId="28" fillId="0" borderId="0" xfId="50" applyFont="1" applyFill="1" applyAlignment="1" applyProtection="1">
      <alignment vertical="center" wrapText="1"/>
    </xf>
    <xf numFmtId="0" fontId="12" fillId="0" borderId="0" xfId="50">
      <alignment vertical="center"/>
    </xf>
    <xf numFmtId="0" fontId="16" fillId="0" borderId="0" xfId="50" applyFont="1" applyFill="1" applyAlignment="1" applyProtection="1">
      <alignment horizontal="center" vertical="center" wrapText="1"/>
    </xf>
    <xf numFmtId="0" fontId="29" fillId="0" borderId="8" xfId="50" applyFont="1" applyFill="1" applyBorder="1" applyAlignment="1" applyProtection="1">
      <alignment vertical="center" wrapText="1"/>
    </xf>
    <xf numFmtId="0" fontId="29" fillId="0" borderId="8" xfId="50" applyFont="1" applyFill="1" applyBorder="1" applyAlignment="1" applyProtection="1">
      <alignment horizontal="right" vertical="center" wrapText="1"/>
    </xf>
    <xf numFmtId="0" fontId="22" fillId="0" borderId="1" xfId="50" applyFont="1" applyFill="1" applyBorder="1" applyAlignment="1" applyProtection="1">
      <alignment horizontal="center" vertical="center" wrapText="1"/>
    </xf>
    <xf numFmtId="0" fontId="30" fillId="0" borderId="0" xfId="0" applyFont="1">
      <alignment vertical="center"/>
    </xf>
    <xf numFmtId="0" fontId="22" fillId="0" borderId="1" xfId="50" applyFont="1" applyFill="1" applyBorder="1" applyAlignment="1" applyProtection="1">
      <alignment vertical="center" wrapText="1"/>
    </xf>
    <xf numFmtId="180" fontId="22" fillId="0" borderId="1" xfId="50" applyNumberFormat="1" applyFont="1" applyFill="1" applyBorder="1" applyAlignment="1" applyProtection="1">
      <alignment horizontal="right" vertical="center" wrapText="1"/>
    </xf>
    <xf numFmtId="0" fontId="12" fillId="0" borderId="1" xfId="50" applyFont="1" applyFill="1" applyBorder="1" applyAlignment="1" applyProtection="1">
      <alignment horizontal="left" vertical="center" wrapText="1"/>
    </xf>
    <xf numFmtId="180" fontId="12" fillId="0" borderId="1" xfId="50" applyNumberFormat="1" applyFont="1" applyFill="1" applyBorder="1" applyAlignment="1" applyProtection="1">
      <alignment horizontal="right" vertical="center" wrapText="1"/>
    </xf>
    <xf numFmtId="180" fontId="12" fillId="0" borderId="1" xfId="50" applyNumberFormat="1" applyFont="1" applyFill="1" applyBorder="1" applyAlignment="1" applyProtection="1">
      <alignment vertical="center" wrapText="1"/>
    </xf>
    <xf numFmtId="0" fontId="31" fillId="0" borderId="1" xfId="50" applyFont="1" applyFill="1" applyBorder="1" applyAlignment="1" applyProtection="1">
      <alignment horizontal="left" vertical="center" wrapText="1"/>
    </xf>
    <xf numFmtId="0" fontId="12" fillId="0" borderId="1" xfId="50" applyFont="1" applyFill="1" applyBorder="1" applyAlignment="1" applyProtection="1">
      <alignment vertical="center"/>
    </xf>
    <xf numFmtId="180" fontId="12" fillId="0" borderId="1" xfId="50" applyNumberFormat="1" applyFont="1" applyFill="1" applyBorder="1" applyAlignment="1" applyProtection="1">
      <alignment vertical="center"/>
    </xf>
    <xf numFmtId="180" fontId="22" fillId="0" borderId="1" xfId="50" applyNumberFormat="1" applyFont="1" applyFill="1" applyBorder="1" applyAlignment="1" applyProtection="1">
      <alignment vertical="center"/>
    </xf>
    <xf numFmtId="0" fontId="22" fillId="0" borderId="1" xfId="50" applyFont="1" applyFill="1" applyBorder="1" applyAlignment="1" applyProtection="1">
      <alignment vertical="center"/>
    </xf>
    <xf numFmtId="177" fontId="22" fillId="0" borderId="1" xfId="50" applyNumberFormat="1" applyFont="1" applyFill="1" applyBorder="1" applyAlignment="1" applyProtection="1">
      <alignment horizontal="right" vertical="center"/>
    </xf>
    <xf numFmtId="177" fontId="12" fillId="0" borderId="1" xfId="50" applyNumberFormat="1" applyFont="1" applyFill="1" applyBorder="1" applyAlignment="1" applyProtection="1">
      <alignment horizontal="right" vertical="center" wrapText="1"/>
    </xf>
    <xf numFmtId="0" fontId="12" fillId="0" borderId="1" xfId="50" applyFont="1" applyFill="1" applyBorder="1" applyAlignment="1" applyProtection="1">
      <alignment horizontal="left" vertical="center" indent="1"/>
    </xf>
    <xf numFmtId="0" fontId="12" fillId="0" borderId="1" xfId="50" applyFont="1" applyFill="1" applyBorder="1" applyAlignment="1" applyProtection="1">
      <alignment horizontal="right" vertical="center" wrapText="1"/>
    </xf>
    <xf numFmtId="0" fontId="0" fillId="0" borderId="0" xfId="0" applyAlignment="1">
      <alignment horizontal="center" vertical="center"/>
    </xf>
    <xf numFmtId="0" fontId="23" fillId="0" borderId="0" xfId="50" applyFont="1">
      <alignment vertical="center"/>
    </xf>
    <xf numFmtId="0" fontId="12" fillId="0" borderId="0" xfId="50" applyAlignment="1">
      <alignment horizontal="center" vertical="center"/>
    </xf>
    <xf numFmtId="0" fontId="16" fillId="0" borderId="0" xfId="50" applyFont="1" applyFill="1" applyAlignment="1" applyProtection="1">
      <alignment horizontal="center" vertical="center"/>
    </xf>
    <xf numFmtId="0" fontId="22" fillId="0" borderId="0" xfId="50" applyFont="1" applyFill="1" applyAlignment="1" applyProtection="1">
      <alignment horizontal="left" vertical="center"/>
    </xf>
    <xf numFmtId="0" fontId="7" fillId="0" borderId="0" xfId="50" applyFont="1" applyFill="1" applyAlignment="1" applyProtection="1">
      <alignment horizontal="center" vertical="center"/>
    </xf>
    <xf numFmtId="0" fontId="7" fillId="0" borderId="0" xfId="50" applyFont="1" applyFill="1" applyAlignment="1" applyProtection="1">
      <alignment horizontal="left" vertical="center"/>
    </xf>
    <xf numFmtId="0" fontId="27" fillId="0" borderId="1" xfId="50" applyFont="1" applyFill="1" applyBorder="1" applyAlignment="1">
      <alignment horizontal="center" vertical="center" wrapText="1"/>
    </xf>
    <xf numFmtId="0" fontId="7" fillId="0" borderId="1" xfId="50" applyFont="1" applyBorder="1" applyAlignment="1">
      <alignment horizontal="center" vertical="center"/>
    </xf>
    <xf numFmtId="0" fontId="27" fillId="0" borderId="1" xfId="50" applyFont="1" applyFill="1" applyBorder="1" applyAlignment="1">
      <alignment horizontal="left" vertical="center" wrapText="1"/>
    </xf>
    <xf numFmtId="0" fontId="8" fillId="0" borderId="12" xfId="50" applyFont="1" applyBorder="1" applyAlignment="1">
      <alignment horizontal="left" vertical="center" wrapText="1"/>
    </xf>
    <xf numFmtId="0" fontId="26" fillId="0" borderId="1" xfId="50" applyFont="1" applyFill="1" applyBorder="1" applyAlignment="1">
      <alignment horizontal="left" vertical="center" wrapText="1"/>
    </xf>
    <xf numFmtId="0" fontId="26" fillId="0" borderId="1" xfId="50" applyFont="1" applyFill="1" applyBorder="1" applyAlignment="1">
      <alignment horizontal="center" vertical="center" wrapText="1"/>
    </xf>
    <xf numFmtId="0" fontId="8" fillId="0" borderId="1" xfId="50" applyFont="1" applyBorder="1" applyAlignment="1">
      <alignment horizontal="center" vertical="center"/>
    </xf>
    <xf numFmtId="0" fontId="8" fillId="0" borderId="10" xfId="50" applyFont="1" applyBorder="1" applyAlignment="1">
      <alignment horizontal="left" vertical="center" wrapText="1"/>
    </xf>
    <xf numFmtId="0" fontId="9" fillId="0" borderId="1" xfId="50" applyFont="1" applyFill="1" applyBorder="1" applyAlignment="1">
      <alignment horizontal="left" vertical="center" wrapText="1"/>
    </xf>
    <xf numFmtId="0" fontId="9" fillId="0" borderId="1" xfId="50" applyFont="1" applyFill="1" applyBorder="1" applyAlignment="1">
      <alignment horizontal="center" vertical="center" wrapText="1"/>
    </xf>
    <xf numFmtId="179" fontId="8" fillId="0" borderId="1" xfId="50" applyNumberFormat="1" applyFont="1" applyBorder="1" applyAlignment="1">
      <alignment horizontal="center" vertical="center"/>
    </xf>
    <xf numFmtId="0" fontId="7" fillId="0" borderId="1" xfId="50" applyFont="1" applyBorder="1" applyAlignment="1">
      <alignment horizontal="left" vertical="center"/>
    </xf>
    <xf numFmtId="179" fontId="7" fillId="0" borderId="1" xfId="50" applyNumberFormat="1" applyFont="1" applyBorder="1" applyAlignment="1">
      <alignment horizontal="center" vertical="center"/>
    </xf>
    <xf numFmtId="0" fontId="8" fillId="0" borderId="13" xfId="50" applyFont="1" applyBorder="1" applyAlignment="1">
      <alignment horizontal="left" vertical="center" wrapText="1"/>
    </xf>
    <xf numFmtId="0" fontId="17" fillId="0" borderId="1" xfId="50" applyFont="1" applyFill="1" applyBorder="1" applyAlignment="1">
      <alignment horizontal="left" vertical="center"/>
    </xf>
    <xf numFmtId="0" fontId="8" fillId="0" borderId="1" xfId="50" applyFont="1" applyFill="1" applyBorder="1" applyAlignment="1" applyProtection="1">
      <alignment horizontal="left" vertical="center" indent="1"/>
    </xf>
    <xf numFmtId="0" fontId="8" fillId="0" borderId="1" xfId="50" applyFont="1" applyFill="1" applyBorder="1" applyAlignment="1" applyProtection="1">
      <alignment horizontal="center" vertical="center"/>
    </xf>
    <xf numFmtId="0" fontId="8" fillId="0" borderId="1" xfId="50" applyFont="1" applyFill="1" applyBorder="1" applyAlignment="1" applyProtection="1">
      <alignment horizontal="left" vertical="center" indent="2"/>
    </xf>
    <xf numFmtId="178" fontId="9" fillId="0" borderId="1" xfId="50" applyNumberFormat="1" applyFont="1" applyFill="1" applyBorder="1" applyAlignment="1">
      <alignment horizontal="left" vertical="center"/>
    </xf>
    <xf numFmtId="178" fontId="10" fillId="0" borderId="1" xfId="50" applyNumberFormat="1" applyFont="1" applyFill="1" applyBorder="1" applyAlignment="1">
      <alignment horizontal="left" vertical="center"/>
    </xf>
    <xf numFmtId="178" fontId="10" fillId="0" borderId="1" xfId="50" applyNumberFormat="1" applyFont="1" applyFill="1" applyBorder="1" applyAlignment="1">
      <alignment horizontal="center" vertical="center"/>
    </xf>
    <xf numFmtId="0" fontId="8" fillId="0" borderId="1" xfId="50" applyFont="1" applyBorder="1">
      <alignment vertical="center"/>
    </xf>
    <xf numFmtId="0" fontId="7" fillId="0" borderId="1" xfId="50" applyFont="1" applyFill="1" applyBorder="1" applyAlignment="1" applyProtection="1">
      <alignment horizontal="center" vertical="center" wrapText="1"/>
    </xf>
    <xf numFmtId="49" fontId="9" fillId="0" borderId="1" xfId="50" applyNumberFormat="1" applyFont="1" applyFill="1" applyBorder="1" applyAlignment="1" applyProtection="1">
      <alignment horizontal="left" vertical="center"/>
    </xf>
    <xf numFmtId="49" fontId="9" fillId="0" borderId="1" xfId="50" applyNumberFormat="1" applyFont="1" applyFill="1" applyBorder="1" applyAlignment="1" applyProtection="1">
      <alignment horizontal="center" vertical="center"/>
    </xf>
    <xf numFmtId="0" fontId="16" fillId="0" borderId="0" xfId="49" applyFont="1" applyFill="1" applyAlignment="1" applyProtection="1">
      <alignment horizontal="center" vertical="center"/>
    </xf>
    <xf numFmtId="0" fontId="32" fillId="0" borderId="0" xfId="49" applyFont="1" applyAlignment="1">
      <alignment horizontal="center" vertical="center" wrapText="1"/>
    </xf>
    <xf numFmtId="0" fontId="23" fillId="0" borderId="0" xfId="49" applyFont="1" applyBorder="1" applyAlignment="1">
      <alignment horizontal="justify" wrapText="1"/>
    </xf>
    <xf numFmtId="0" fontId="12" fillId="0" borderId="16" xfId="49" applyFont="1" applyBorder="1" applyAlignment="1">
      <alignment horizontal="justify" wrapText="1"/>
    </xf>
    <xf numFmtId="0" fontId="33" fillId="0" borderId="16" xfId="49" applyFont="1" applyBorder="1" applyAlignment="1">
      <alignment horizontal="justify" wrapText="1"/>
    </xf>
    <xf numFmtId="14" fontId="33" fillId="0" borderId="17" xfId="49" applyNumberFormat="1" applyFont="1" applyBorder="1" applyAlignment="1">
      <alignment horizontal="justify"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千位分隔 2" xfId="51"/>
    <cellStyle name="千位分隔 3" xf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externalLink" Target="externalLinks/externalLink2.xml"/><Relationship Id="rId11" Type="http://schemas.openxmlformats.org/officeDocument/2006/relationships/externalLink" Target="externalLinks/externalLink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65288;&#37089;&#31041;&#23398;&#26657;&#65289;&#31185;&#30446;&#20313;&#39069;&#34920;20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7665;&#21150;&#25945;&#32946;&#22522;&#30784;&#34920;&#26684;(&#37089;&#31041;&#23398;&#2665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科目余额表"/>
    </sheetNames>
    <sheetDataSet>
      <sheetData sheetId="0">
        <row r="179">
          <cell r="H179">
            <v>50000</v>
          </cell>
        </row>
        <row r="182">
          <cell r="H182">
            <v>17024.46</v>
          </cell>
        </row>
        <row r="183">
          <cell r="H183">
            <v>-4986.66</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封面"/>
      <sheetName val="基本情况表"/>
      <sheetName val="收入情况表OK"/>
      <sheetName val="教育成本归集表"/>
      <sheetName val="教育培养成本核定表"/>
      <sheetName val="学生人数核定表"/>
      <sheetName val="教职工人数核定表"/>
      <sheetName val="薪酬核定表"/>
      <sheetName val="固定资产折旧计算表"/>
      <sheetName val="承若书"/>
    </sheetNames>
    <sheetDataSet>
      <sheetData sheetId="0"/>
      <sheetData sheetId="1">
        <row r="11">
          <cell r="B11">
            <v>144</v>
          </cell>
        </row>
        <row r="18">
          <cell r="B18">
            <v>12</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0"/>
  <sheetViews>
    <sheetView workbookViewId="0">
      <selection activeCell="B4" sqref="B4"/>
    </sheetView>
  </sheetViews>
  <sheetFormatPr defaultColWidth="9" defaultRowHeight="13.5" outlineLevelCol="1"/>
  <cols>
    <col min="1" max="1" width="27.125" customWidth="1"/>
    <col min="2" max="2" width="35.75" customWidth="1"/>
  </cols>
  <sheetData>
    <row r="1" ht="25.5" spans="1:2">
      <c r="A1" s="180" t="s">
        <v>0</v>
      </c>
      <c r="B1" s="180"/>
    </row>
    <row r="2" ht="20.25" spans="1:2">
      <c r="A2" s="181" t="s">
        <v>1</v>
      </c>
      <c r="B2" s="181"/>
    </row>
    <row r="3" ht="21" spans="1:2">
      <c r="A3" s="182" t="s">
        <v>2</v>
      </c>
      <c r="B3" s="183" t="s">
        <v>3</v>
      </c>
    </row>
    <row r="4" ht="21" spans="1:2">
      <c r="A4" s="182" t="s">
        <v>4</v>
      </c>
      <c r="B4" s="183" t="s">
        <v>5</v>
      </c>
    </row>
    <row r="5" ht="21" spans="1:2">
      <c r="A5" s="182" t="s">
        <v>6</v>
      </c>
      <c r="B5" s="183" t="s">
        <v>7</v>
      </c>
    </row>
    <row r="6" ht="21" spans="1:2">
      <c r="A6" s="182" t="s">
        <v>8</v>
      </c>
      <c r="B6" s="183" t="s">
        <v>9</v>
      </c>
    </row>
    <row r="7" ht="29.25" spans="1:2">
      <c r="A7" s="182" t="s">
        <v>10</v>
      </c>
      <c r="B7" s="183" t="s">
        <v>11</v>
      </c>
    </row>
    <row r="8" ht="21" spans="1:2">
      <c r="A8" s="182" t="s">
        <v>12</v>
      </c>
      <c r="B8" s="184">
        <v>426100</v>
      </c>
    </row>
    <row r="9" ht="42" customHeight="1" spans="1:2">
      <c r="A9" s="182" t="s">
        <v>13</v>
      </c>
      <c r="B9" s="184" t="s">
        <v>14</v>
      </c>
    </row>
    <row r="10" ht="45.75" customHeight="1" spans="1:2">
      <c r="A10" s="182" t="s">
        <v>15</v>
      </c>
      <c r="B10" s="185">
        <v>44754</v>
      </c>
    </row>
  </sheetData>
  <mergeCells count="2">
    <mergeCell ref="A1:B1"/>
    <mergeCell ref="A2:B2"/>
  </mergeCells>
  <pageMargins left="1.48" right="0.7" top="1.45" bottom="0.75" header="0.25"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3"/>
  <sheetViews>
    <sheetView tabSelected="1" workbookViewId="0">
      <selection activeCell="D7" sqref="D7"/>
    </sheetView>
  </sheetViews>
  <sheetFormatPr defaultColWidth="9" defaultRowHeight="13.5"/>
  <cols>
    <col min="1" max="1" width="83.625" customWidth="1"/>
  </cols>
  <sheetData>
    <row r="1" ht="74.25" customHeight="1" spans="1:1">
      <c r="A1" s="1" t="s">
        <v>288</v>
      </c>
    </row>
    <row r="2" ht="58.5" spans="1:1">
      <c r="A2" s="2" t="s">
        <v>289</v>
      </c>
    </row>
    <row r="3" ht="19.5" spans="1:1">
      <c r="A3" s="2" t="s">
        <v>290</v>
      </c>
    </row>
    <row r="4" ht="39" spans="1:1">
      <c r="A4" s="2" t="s">
        <v>291</v>
      </c>
    </row>
    <row r="5" ht="19.5" spans="1:1">
      <c r="A5" s="3"/>
    </row>
    <row r="9" ht="19.5" spans="1:1">
      <c r="A9" s="4"/>
    </row>
    <row r="10" ht="19.5" spans="1:1">
      <c r="A10" s="4"/>
    </row>
    <row r="11" ht="36.75" customHeight="1" spans="1:1">
      <c r="A11" s="4" t="s">
        <v>292</v>
      </c>
    </row>
    <row r="12" ht="32.25" customHeight="1" spans="1:1">
      <c r="A12" s="2" t="s">
        <v>293</v>
      </c>
    </row>
    <row r="13" ht="55.5" customHeight="1" spans="1:1">
      <c r="A13" s="5" t="s">
        <v>294</v>
      </c>
    </row>
  </sheetData>
  <pageMargins left="0.708661417322835" right="0.708661417322835" top="1.53543307086614" bottom="0.748031496062992" header="0.31496062992126" footer="0.31496062992126"/>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4"/>
  <sheetViews>
    <sheetView workbookViewId="0">
      <pane xSplit="6" ySplit="4" topLeftCell="G17" activePane="bottomRight" state="frozen"/>
      <selection/>
      <selection pane="topRight"/>
      <selection pane="bottomLeft"/>
      <selection pane="bottomRight" activeCell="B10" sqref="B10"/>
    </sheetView>
  </sheetViews>
  <sheetFormatPr defaultColWidth="9" defaultRowHeight="13.5" outlineLevelCol="6"/>
  <cols>
    <col min="1" max="1" width="26.5" customWidth="1"/>
    <col min="2" max="2" width="17" style="148" customWidth="1"/>
    <col min="3" max="3" width="16.75" customWidth="1"/>
    <col min="4" max="4" width="17" customWidth="1"/>
    <col min="5" max="5" width="11.125" customWidth="1"/>
  </cols>
  <sheetData>
    <row r="1" ht="20.25" spans="1:3">
      <c r="A1" s="149" t="s">
        <v>16</v>
      </c>
      <c r="B1" s="150"/>
      <c r="C1" s="128"/>
    </row>
    <row r="2" ht="25.5" spans="1:5">
      <c r="A2" s="151" t="s">
        <v>17</v>
      </c>
      <c r="B2" s="151"/>
      <c r="C2" s="151"/>
      <c r="D2" s="151"/>
      <c r="E2" s="151"/>
    </row>
    <row r="3" ht="14.25" spans="1:3">
      <c r="A3" s="152" t="s">
        <v>18</v>
      </c>
      <c r="B3" s="153"/>
      <c r="C3" s="154"/>
    </row>
    <row r="4" ht="19.5" customHeight="1" spans="1:7">
      <c r="A4" s="155" t="s">
        <v>19</v>
      </c>
      <c r="B4" s="155" t="s">
        <v>20</v>
      </c>
      <c r="C4" s="156" t="s">
        <v>21</v>
      </c>
      <c r="D4" s="156" t="s">
        <v>22</v>
      </c>
      <c r="E4" s="156" t="s">
        <v>23</v>
      </c>
      <c r="G4" s="133"/>
    </row>
    <row r="5" ht="19.5" customHeight="1" spans="1:5">
      <c r="A5" s="157" t="s">
        <v>24</v>
      </c>
      <c r="B5" s="155">
        <f>SUM(B6:B8)</f>
        <v>16</v>
      </c>
      <c r="C5" s="155">
        <f>SUM(C6:C8)</f>
        <v>50</v>
      </c>
      <c r="D5" s="155">
        <f>SUM(D6:D8)</f>
        <v>74</v>
      </c>
      <c r="E5" s="158" t="s">
        <v>25</v>
      </c>
    </row>
    <row r="6" ht="19.5" customHeight="1" spans="1:5">
      <c r="A6" s="159" t="s">
        <v>26</v>
      </c>
      <c r="B6" s="160">
        <v>13</v>
      </c>
      <c r="C6" s="161">
        <f>15+22</f>
        <v>37</v>
      </c>
      <c r="D6" s="161">
        <f>24+23</f>
        <v>47</v>
      </c>
      <c r="E6" s="162"/>
    </row>
    <row r="7" ht="19.5" customHeight="1" spans="1:5">
      <c r="A7" s="159" t="s">
        <v>27</v>
      </c>
      <c r="B7" s="160">
        <v>3</v>
      </c>
      <c r="C7" s="161">
        <f>3+10</f>
        <v>13</v>
      </c>
      <c r="D7" s="161">
        <f>10+17</f>
        <v>27</v>
      </c>
      <c r="E7" s="162"/>
    </row>
    <row r="8" ht="19.5" customHeight="1" spans="1:5">
      <c r="A8" s="163" t="s">
        <v>28</v>
      </c>
      <c r="B8" s="164"/>
      <c r="C8" s="161"/>
      <c r="D8" s="161"/>
      <c r="E8" s="162"/>
    </row>
    <row r="9" ht="19.5" customHeight="1" spans="1:5">
      <c r="A9" s="157" t="s">
        <v>29</v>
      </c>
      <c r="B9" s="155">
        <f>SUM(B10:B12)</f>
        <v>609</v>
      </c>
      <c r="C9" s="155">
        <f>SUM(C10:C12)</f>
        <v>2116</v>
      </c>
      <c r="D9" s="155">
        <f>SUM(D10:D12)</f>
        <v>3103</v>
      </c>
      <c r="E9" s="162"/>
    </row>
    <row r="10" ht="19.5" customHeight="1" spans="1:5">
      <c r="A10" s="159" t="s">
        <v>26</v>
      </c>
      <c r="B10" s="160">
        <v>465</v>
      </c>
      <c r="C10" s="165">
        <f>618+914</f>
        <v>1532</v>
      </c>
      <c r="D10" s="165">
        <f>967+929</f>
        <v>1896</v>
      </c>
      <c r="E10" s="162"/>
    </row>
    <row r="11" ht="19.5" customHeight="1" spans="1:5">
      <c r="A11" s="159" t="s">
        <v>27</v>
      </c>
      <c r="B11" s="160">
        <v>144</v>
      </c>
      <c r="C11" s="165">
        <f>156+428</f>
        <v>584</v>
      </c>
      <c r="D11" s="165">
        <f>443+764</f>
        <v>1207</v>
      </c>
      <c r="E11" s="162"/>
    </row>
    <row r="12" ht="19.5" customHeight="1" spans="1:5">
      <c r="A12" s="163" t="s">
        <v>30</v>
      </c>
      <c r="B12" s="164"/>
      <c r="C12" s="165"/>
      <c r="D12" s="165"/>
      <c r="E12" s="162"/>
    </row>
    <row r="13" ht="19.5" customHeight="1" spans="1:5">
      <c r="A13" s="166" t="s">
        <v>31</v>
      </c>
      <c r="B13" s="167"/>
      <c r="C13" s="167"/>
      <c r="D13" s="167"/>
      <c r="E13" s="168"/>
    </row>
    <row r="14" ht="19.5" customHeight="1" spans="1:5">
      <c r="A14" s="169" t="s">
        <v>32</v>
      </c>
      <c r="B14" s="46">
        <f>B15+B24</f>
        <v>107</v>
      </c>
      <c r="C14" s="46">
        <f>C15+C24</f>
        <v>387</v>
      </c>
      <c r="D14" s="46">
        <f>D15+D24</f>
        <v>463</v>
      </c>
      <c r="E14" s="11" t="s">
        <v>33</v>
      </c>
    </row>
    <row r="15" ht="19.5" customHeight="1" spans="1:5">
      <c r="A15" s="170" t="s">
        <v>34</v>
      </c>
      <c r="B15" s="171">
        <f>B16+B21+B22+B23</f>
        <v>94</v>
      </c>
      <c r="C15" s="171">
        <f>C16+C21+C22+C23</f>
        <v>281</v>
      </c>
      <c r="D15" s="171">
        <f>D16+D21+D22+D23</f>
        <v>357</v>
      </c>
      <c r="E15" s="11"/>
    </row>
    <row r="16" ht="19.5" customHeight="1" spans="1:5">
      <c r="A16" s="172" t="s">
        <v>35</v>
      </c>
      <c r="B16" s="171">
        <f>SUM(B17:B19)</f>
        <v>42</v>
      </c>
      <c r="C16" s="171">
        <f>SUM(C17:C19)</f>
        <v>136</v>
      </c>
      <c r="D16" s="171">
        <f>SUM(D17:D19)</f>
        <v>197</v>
      </c>
      <c r="E16" s="11"/>
    </row>
    <row r="17" ht="19.5" customHeight="1" spans="1:5">
      <c r="A17" s="173" t="s">
        <v>36</v>
      </c>
      <c r="B17" s="171">
        <v>30</v>
      </c>
      <c r="C17" s="161">
        <f>37+53</f>
        <v>90</v>
      </c>
      <c r="D17" s="161">
        <f>56+60</f>
        <v>116</v>
      </c>
      <c r="E17" s="11"/>
    </row>
    <row r="18" ht="19.5" customHeight="1" spans="1:5">
      <c r="A18" s="173" t="s">
        <v>37</v>
      </c>
      <c r="B18" s="171">
        <v>12</v>
      </c>
      <c r="C18" s="161">
        <f>13+33</f>
        <v>46</v>
      </c>
      <c r="D18" s="161">
        <f>33+48</f>
        <v>81</v>
      </c>
      <c r="E18" s="11"/>
    </row>
    <row r="19" ht="19.5" customHeight="1" spans="1:5">
      <c r="A19" s="173" t="s">
        <v>38</v>
      </c>
      <c r="B19" s="171"/>
      <c r="C19" s="161"/>
      <c r="D19" s="161"/>
      <c r="E19" s="11"/>
    </row>
    <row r="20" ht="19.5" customHeight="1" spans="1:5">
      <c r="A20" s="174" t="s">
        <v>39</v>
      </c>
      <c r="B20" s="175"/>
      <c r="C20" s="161"/>
      <c r="D20" s="161"/>
      <c r="E20" s="11"/>
    </row>
    <row r="21" ht="19.5" customHeight="1" spans="1:5">
      <c r="A21" s="172" t="s">
        <v>40</v>
      </c>
      <c r="B21" s="171">
        <v>6</v>
      </c>
      <c r="C21" s="161">
        <f>8+10+22*2</f>
        <v>62</v>
      </c>
      <c r="D21" s="161">
        <f>15+11+24*2</f>
        <v>74</v>
      </c>
      <c r="E21" s="11"/>
    </row>
    <row r="22" ht="19.5" customHeight="1" spans="1:5">
      <c r="A22" s="172" t="s">
        <v>41</v>
      </c>
      <c r="B22" s="171">
        <v>4</v>
      </c>
      <c r="C22" s="161">
        <f>4+3</f>
        <v>7</v>
      </c>
      <c r="D22" s="161">
        <f>5+5</f>
        <v>10</v>
      </c>
      <c r="E22" s="11"/>
    </row>
    <row r="23" ht="19.5" customHeight="1" spans="1:5">
      <c r="A23" s="172" t="s">
        <v>42</v>
      </c>
      <c r="B23" s="171">
        <v>42</v>
      </c>
      <c r="C23" s="161">
        <f>34*2+4*2</f>
        <v>76</v>
      </c>
      <c r="D23" s="161">
        <f>32*2+6*2</f>
        <v>76</v>
      </c>
      <c r="E23" s="11"/>
    </row>
    <row r="24" ht="19.5" customHeight="1" spans="1:5">
      <c r="A24" s="176" t="s">
        <v>43</v>
      </c>
      <c r="B24" s="161">
        <f>SUM(B25:B28)</f>
        <v>13</v>
      </c>
      <c r="C24" s="161">
        <f>SUM(C25:C28)</f>
        <v>106</v>
      </c>
      <c r="D24" s="161">
        <f>SUM(D25:D28)</f>
        <v>106</v>
      </c>
      <c r="E24" s="11"/>
    </row>
    <row r="25" ht="19.5" customHeight="1" spans="1:5">
      <c r="A25" s="176" t="s">
        <v>44</v>
      </c>
      <c r="B25" s="161"/>
      <c r="C25" s="176"/>
      <c r="D25" s="161"/>
      <c r="E25" s="11"/>
    </row>
    <row r="26" ht="19.5" customHeight="1" spans="1:5">
      <c r="A26" s="176" t="s">
        <v>45</v>
      </c>
      <c r="B26" s="161"/>
      <c r="C26" s="176"/>
      <c r="D26" s="161"/>
      <c r="E26" s="11"/>
    </row>
    <row r="27" ht="19.5" customHeight="1" spans="1:5">
      <c r="A27" s="176" t="s">
        <v>46</v>
      </c>
      <c r="B27" s="161">
        <v>13</v>
      </c>
      <c r="C27" s="161">
        <f>10+9+10+9+34*2</f>
        <v>106</v>
      </c>
      <c r="D27" s="161">
        <f>10+9+10+9+34*2</f>
        <v>106</v>
      </c>
      <c r="E27" s="11"/>
    </row>
    <row r="28" ht="19.5" customHeight="1" spans="1:5">
      <c r="A28" s="176" t="s">
        <v>47</v>
      </c>
      <c r="B28" s="161"/>
      <c r="C28" s="176"/>
      <c r="D28" s="176"/>
      <c r="E28" s="11"/>
    </row>
    <row r="29" ht="30" customHeight="1" spans="1:5">
      <c r="A29" s="9" t="s">
        <v>48</v>
      </c>
      <c r="B29" s="177">
        <f>SUM(B30:B34)</f>
        <v>642369.79</v>
      </c>
      <c r="C29" s="177">
        <f>SUM(C30:C34)</f>
        <v>1705324</v>
      </c>
      <c r="D29" s="177">
        <f>SUM(D30:D34)</f>
        <v>1212618.03</v>
      </c>
      <c r="E29" s="176"/>
    </row>
    <row r="30" ht="19.5" customHeight="1" spans="1:5">
      <c r="A30" s="170" t="s">
        <v>49</v>
      </c>
      <c r="B30" s="171"/>
      <c r="C30" s="171"/>
      <c r="D30" s="171"/>
      <c r="E30" s="176"/>
    </row>
    <row r="31" ht="19.5" customHeight="1" spans="1:5">
      <c r="A31" s="170" t="s">
        <v>50</v>
      </c>
      <c r="B31" s="171">
        <f>145512.65+7646.22+17452.76+18197.67</f>
        <v>188809.3</v>
      </c>
      <c r="C31" s="176">
        <f>251855.55+8646.54+10954.75+20022.36+15841.27</f>
        <v>307320.47</v>
      </c>
      <c r="D31" s="176">
        <f>184619.66+4714.86+13091.91+10684.68+12060.07</f>
        <v>225171.18</v>
      </c>
      <c r="E31" s="176"/>
    </row>
    <row r="32" ht="19.5" customHeight="1" spans="1:5">
      <c r="A32" s="170" t="s">
        <v>51</v>
      </c>
      <c r="B32" s="171">
        <f>4600+110500</f>
        <v>115100</v>
      </c>
      <c r="C32" s="176">
        <f>3066.64+130833.36+149277.01+18031.12+518666.19</f>
        <v>819874.32</v>
      </c>
      <c r="D32" s="176">
        <f>1533.28+74333.4+90435.01+11044.48+317145.65</f>
        <v>494491.82</v>
      </c>
      <c r="E32" s="176"/>
    </row>
    <row r="33" ht="19.5" customHeight="1" spans="1:5">
      <c r="A33" s="170" t="s">
        <v>52</v>
      </c>
      <c r="B33" s="171">
        <f>179941+15391.16+8100+111362.5+23665.83</f>
        <v>338460.49</v>
      </c>
      <c r="C33" s="176">
        <f>144919.21+42424.02+7213.32+254864.16+128708.5</f>
        <v>578129.21</v>
      </c>
      <c r="D33" s="176">
        <f>106974.25+31544.78+3833.28+136826.39+213776.33</f>
        <v>492955.03</v>
      </c>
      <c r="E33" s="176"/>
    </row>
    <row r="34" ht="19.5" customHeight="1" spans="1:5">
      <c r="A34" s="178" t="s">
        <v>53</v>
      </c>
      <c r="B34" s="179"/>
      <c r="C34" s="176"/>
      <c r="D34" s="176"/>
      <c r="E34" s="176"/>
    </row>
  </sheetData>
  <mergeCells count="4">
    <mergeCell ref="A2:E2"/>
    <mergeCell ref="A3:C3"/>
    <mergeCell ref="E5:E13"/>
    <mergeCell ref="E14:E28"/>
  </mergeCells>
  <pageMargins left="0.7" right="0.7" top="0.75" bottom="0.75" header="0.3" footer="0.3"/>
  <pageSetup paperSize="9"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6"/>
  <sheetViews>
    <sheetView workbookViewId="0">
      <pane xSplit="4" ySplit="4" topLeftCell="E5" activePane="bottomRight" state="frozen"/>
      <selection/>
      <selection pane="topRight"/>
      <selection pane="bottomLeft"/>
      <selection pane="bottomRight" activeCell="D23" sqref="D23"/>
    </sheetView>
  </sheetViews>
  <sheetFormatPr defaultColWidth="9" defaultRowHeight="13.5" outlineLevelCol="4"/>
  <cols>
    <col min="1" max="1" width="25.875" customWidth="1"/>
    <col min="2" max="4" width="18.875" customWidth="1"/>
  </cols>
  <sheetData>
    <row r="1" ht="20.25" spans="1:2">
      <c r="A1" s="127" t="s">
        <v>54</v>
      </c>
      <c r="B1" s="128"/>
    </row>
    <row r="2" ht="25.5" spans="1:4">
      <c r="A2" s="129" t="s">
        <v>55</v>
      </c>
      <c r="B2" s="129"/>
      <c r="C2" s="129"/>
      <c r="D2" s="129"/>
    </row>
    <row r="3" spans="1:2">
      <c r="A3" s="130" t="s">
        <v>56</v>
      </c>
      <c r="B3" s="131"/>
    </row>
    <row r="4" ht="36" customHeight="1" spans="1:5">
      <c r="A4" s="132" t="s">
        <v>57</v>
      </c>
      <c r="B4" s="132" t="s">
        <v>58</v>
      </c>
      <c r="C4" s="132" t="s">
        <v>59</v>
      </c>
      <c r="D4" s="132" t="s">
        <v>60</v>
      </c>
      <c r="E4" s="133"/>
    </row>
    <row r="5" ht="22.5" customHeight="1" spans="1:4">
      <c r="A5" s="134" t="s">
        <v>61</v>
      </c>
      <c r="B5" s="135">
        <f>B6</f>
        <v>191700</v>
      </c>
      <c r="C5" s="135">
        <f>C6</f>
        <v>731400</v>
      </c>
      <c r="D5" s="135">
        <f>D6</f>
        <v>1034600</v>
      </c>
    </row>
    <row r="6" ht="22.5" customHeight="1" spans="1:4">
      <c r="A6" s="136" t="s">
        <v>62</v>
      </c>
      <c r="B6" s="137">
        <v>191700</v>
      </c>
      <c r="C6" s="137">
        <f>240000+491400</f>
        <v>731400</v>
      </c>
      <c r="D6" s="137">
        <f>480000+554600</f>
        <v>1034600</v>
      </c>
    </row>
    <row r="7" ht="22.5" customHeight="1" spans="1:4">
      <c r="A7" s="136" t="s">
        <v>63</v>
      </c>
      <c r="B7" s="137"/>
      <c r="C7" s="137"/>
      <c r="D7" s="137"/>
    </row>
    <row r="8" ht="22.5" customHeight="1" spans="1:4">
      <c r="A8" s="136" t="s">
        <v>64</v>
      </c>
      <c r="B8" s="137"/>
      <c r="C8" s="137"/>
      <c r="D8" s="137"/>
    </row>
    <row r="9" ht="22.5" customHeight="1" spans="1:4">
      <c r="A9" s="136" t="s">
        <v>65</v>
      </c>
      <c r="B9" s="137"/>
      <c r="C9" s="137"/>
      <c r="D9" s="137"/>
    </row>
    <row r="10" ht="22.5" customHeight="1" spans="1:4">
      <c r="A10" s="134" t="s">
        <v>66</v>
      </c>
      <c r="B10" s="137"/>
      <c r="C10" s="137"/>
      <c r="D10" s="137"/>
    </row>
    <row r="11" ht="22.5" customHeight="1" spans="1:4">
      <c r="A11" s="134" t="s">
        <v>67</v>
      </c>
      <c r="B11" s="135">
        <f>B12+B21</f>
        <v>7279600</v>
      </c>
      <c r="C11" s="135">
        <f>C12+C21</f>
        <v>20166605.5</v>
      </c>
      <c r="D11" s="135">
        <f>D12+D21</f>
        <v>39104125.5</v>
      </c>
    </row>
    <row r="12" ht="22.5" customHeight="1" spans="1:4">
      <c r="A12" s="136" t="s">
        <v>68</v>
      </c>
      <c r="B12" s="137">
        <f>B13+B18+B19+B20</f>
        <v>7279600</v>
      </c>
      <c r="C12" s="137">
        <f>C13+C18+C19+C20</f>
        <v>20166605.5</v>
      </c>
      <c r="D12" s="137">
        <f>D13+D18+D19+D20</f>
        <v>39104125.5</v>
      </c>
    </row>
    <row r="13" ht="22.5" customHeight="1" spans="1:4">
      <c r="A13" s="136" t="s">
        <v>69</v>
      </c>
      <c r="B13" s="137">
        <f>SUM(B14:B17)</f>
        <v>3331500</v>
      </c>
      <c r="C13" s="137">
        <f>SUM(C14:C17)</f>
        <v>11464880</v>
      </c>
      <c r="D13" s="137">
        <f>SUM(D14:D17)</f>
        <v>16921080</v>
      </c>
    </row>
    <row r="14" ht="22.5" customHeight="1" spans="1:4">
      <c r="A14" s="136" t="s">
        <v>70</v>
      </c>
      <c r="B14" s="138">
        <f>2691200-231500</f>
        <v>2459700</v>
      </c>
      <c r="C14" s="138">
        <f>3590780+5301200-309000-457000</f>
        <v>8125980</v>
      </c>
      <c r="D14" s="138">
        <f>5602800+5386200-463500-482000</f>
        <v>10043500</v>
      </c>
    </row>
    <row r="15" ht="22.5" customHeight="1" spans="1:4">
      <c r="A15" s="136" t="s">
        <v>71</v>
      </c>
      <c r="B15" s="138">
        <f>943800-72000</f>
        <v>871800</v>
      </c>
      <c r="C15" s="138">
        <f>1029600+2600800-77500-214000</f>
        <v>3338900</v>
      </c>
      <c r="D15" s="138">
        <f>2696600+4783980-382000-221000</f>
        <v>6877580</v>
      </c>
    </row>
    <row r="16" ht="22.5" customHeight="1" spans="1:4">
      <c r="A16" s="136" t="s">
        <v>72</v>
      </c>
      <c r="B16" s="137"/>
      <c r="C16" s="137"/>
      <c r="D16" s="137"/>
    </row>
    <row r="17" ht="22.5" customHeight="1" spans="1:4">
      <c r="A17" s="136" t="s">
        <v>73</v>
      </c>
      <c r="B17" s="137"/>
      <c r="C17" s="137"/>
      <c r="D17" s="137"/>
    </row>
    <row r="18" ht="22.5" customHeight="1" spans="1:4">
      <c r="A18" s="139" t="s">
        <v>74</v>
      </c>
      <c r="B18" s="137">
        <v>1456800</v>
      </c>
      <c r="C18" s="137">
        <f>1860068+3560200</f>
        <v>5420268</v>
      </c>
      <c r="D18" s="137">
        <f>3732800+4673900</f>
        <v>8406700</v>
      </c>
    </row>
    <row r="19" ht="22.5" customHeight="1" spans="1:5">
      <c r="A19" s="136" t="s">
        <v>75</v>
      </c>
      <c r="B19" s="137">
        <f>2187800+231500+72000</f>
        <v>2491300</v>
      </c>
      <c r="C19" s="137">
        <f>620000+2169600-5331600+2473650+1287600+1004707.5+309000+457000+77500+214000</f>
        <v>3281457.5</v>
      </c>
      <c r="D19" s="137">
        <f>3058400+3212400+1347400+1736400+2873245.5+463500+482000+382000+221000</f>
        <v>13776345.5</v>
      </c>
      <c r="E19" s="133"/>
    </row>
    <row r="20" ht="22.5" customHeight="1" spans="1:4">
      <c r="A20" s="140" t="s">
        <v>76</v>
      </c>
      <c r="B20" s="141"/>
      <c r="C20" s="141"/>
      <c r="D20" s="141"/>
    </row>
    <row r="21" ht="22.5" customHeight="1" spans="1:4">
      <c r="A21" s="142" t="s">
        <v>77</v>
      </c>
      <c r="B21" s="141"/>
      <c r="C21" s="141"/>
      <c r="D21" s="141"/>
    </row>
    <row r="22" ht="22.5" customHeight="1" spans="1:4">
      <c r="A22" s="143" t="s">
        <v>78</v>
      </c>
      <c r="B22" s="144">
        <f>B13/B12</f>
        <v>0.457648771910545</v>
      </c>
      <c r="C22" s="144">
        <f t="shared" ref="C22:D22" si="0">C13/C12</f>
        <v>0.568508170599162</v>
      </c>
      <c r="D22" s="144">
        <f t="shared" si="0"/>
        <v>0.432718537587549</v>
      </c>
    </row>
    <row r="23" ht="22.5" customHeight="1" spans="1:4">
      <c r="A23" s="143" t="s">
        <v>79</v>
      </c>
      <c r="B23" s="145">
        <f>B18/B11</f>
        <v>0.200120885762954</v>
      </c>
      <c r="C23" s="145">
        <f t="shared" ref="C23:D23" si="1">C18/C11</f>
        <v>0.268774435043121</v>
      </c>
      <c r="D23" s="145">
        <f t="shared" si="1"/>
        <v>0.214982431968719</v>
      </c>
    </row>
    <row r="24" ht="22.5" customHeight="1" spans="1:4">
      <c r="A24" s="143" t="s">
        <v>80</v>
      </c>
      <c r="B24" s="145">
        <f>B19/B11</f>
        <v>0.342230342326501</v>
      </c>
      <c r="C24" s="145">
        <f t="shared" ref="C24" si="2">C19/C11</f>
        <v>0.162717394357717</v>
      </c>
      <c r="D24" s="145">
        <v>0.37</v>
      </c>
    </row>
    <row r="25" ht="22.5" customHeight="1" spans="1:4">
      <c r="A25" s="146"/>
      <c r="B25" s="147"/>
      <c r="C25" s="147"/>
      <c r="D25" s="147"/>
    </row>
    <row r="26" ht="22.5" customHeight="1" spans="1:4">
      <c r="A26" s="146"/>
      <c r="B26" s="147"/>
      <c r="C26" s="147"/>
      <c r="D26" s="147"/>
    </row>
  </sheetData>
  <mergeCells count="1">
    <mergeCell ref="A2:D2"/>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5"/>
  <sheetViews>
    <sheetView workbookViewId="0">
      <pane xSplit="10" ySplit="4" topLeftCell="K35" activePane="bottomRight" state="frozen"/>
      <selection/>
      <selection pane="topRight"/>
      <selection pane="bottomLeft"/>
      <selection pane="bottomRight" activeCell="J32" sqref="J32"/>
    </sheetView>
  </sheetViews>
  <sheetFormatPr defaultColWidth="9" defaultRowHeight="13.5"/>
  <cols>
    <col min="1" max="1" width="24.125" customWidth="1"/>
    <col min="2" max="2" width="13.5" customWidth="1"/>
    <col min="3" max="3" width="10.5" customWidth="1"/>
    <col min="4" max="5" width="13.5" customWidth="1"/>
    <col min="6" max="6" width="10.5" customWidth="1"/>
    <col min="7" max="8" width="13.5" customWidth="1"/>
    <col min="9" max="9" width="10.5" customWidth="1"/>
    <col min="10" max="10" width="13.5" customWidth="1"/>
  </cols>
  <sheetData>
    <row r="1" ht="20.25" spans="1:4">
      <c r="A1" s="115" t="s">
        <v>81</v>
      </c>
      <c r="B1" s="92"/>
      <c r="C1" s="92"/>
      <c r="D1" s="92"/>
    </row>
    <row r="2" ht="25.5" spans="1:10">
      <c r="A2" s="61" t="s">
        <v>82</v>
      </c>
      <c r="B2" s="61"/>
      <c r="C2" s="61"/>
      <c r="D2" s="61"/>
      <c r="E2" s="61"/>
      <c r="F2" s="61"/>
      <c r="G2" s="61"/>
      <c r="H2" s="61"/>
      <c r="I2" s="61"/>
      <c r="J2" s="61"/>
    </row>
    <row r="3" ht="15.75" spans="1:10">
      <c r="A3" s="116"/>
      <c r="B3" s="116"/>
      <c r="C3" s="116"/>
      <c r="D3" s="116"/>
      <c r="J3" t="s">
        <v>83</v>
      </c>
    </row>
    <row r="4" ht="15.6" customHeight="1" spans="1:10">
      <c r="A4" s="117" t="s">
        <v>84</v>
      </c>
      <c r="B4" s="117" t="s">
        <v>85</v>
      </c>
      <c r="C4" s="118" t="s">
        <v>86</v>
      </c>
      <c r="D4" s="119" t="s">
        <v>87</v>
      </c>
      <c r="E4" s="117" t="s">
        <v>88</v>
      </c>
      <c r="F4" s="118" t="s">
        <v>86</v>
      </c>
      <c r="G4" s="119" t="s">
        <v>89</v>
      </c>
      <c r="H4" s="117" t="s">
        <v>90</v>
      </c>
      <c r="I4" s="118" t="s">
        <v>86</v>
      </c>
      <c r="J4" s="119" t="s">
        <v>91</v>
      </c>
    </row>
    <row r="5" ht="15.75" spans="1:10">
      <c r="A5" s="120" t="s">
        <v>92</v>
      </c>
      <c r="B5" s="121">
        <f>SUM(B6:B11)</f>
        <v>5245836.56</v>
      </c>
      <c r="C5" s="82">
        <f>D5-B5</f>
        <v>-3733533.56</v>
      </c>
      <c r="D5" s="82">
        <f>D6+D9+D10</f>
        <v>1512303</v>
      </c>
      <c r="E5" s="121">
        <f>SUM(E6:E11)</f>
        <v>11378700.24</v>
      </c>
      <c r="F5" s="82">
        <f>G5-E5</f>
        <v>-4042367.36</v>
      </c>
      <c r="G5" s="82">
        <f>G6+G9+G10</f>
        <v>7336332.88</v>
      </c>
      <c r="H5" s="121">
        <f>SUM(H6:H11)</f>
        <v>18402060.31</v>
      </c>
      <c r="I5" s="82">
        <f>J5-H5</f>
        <v>-5638590.46</v>
      </c>
      <c r="J5" s="82">
        <f>J6+J9+J10</f>
        <v>12763469.85</v>
      </c>
    </row>
    <row r="6" ht="15.75" spans="1:10">
      <c r="A6" s="122" t="s">
        <v>93</v>
      </c>
      <c r="B6" s="82">
        <f>1859773.27+2293737.89+74800+89342+244603.24+302705.06</f>
        <v>4864961.46</v>
      </c>
      <c r="C6" s="82">
        <f t="shared" ref="C6:C54" si="0">D6-B6</f>
        <v>-3492401.46</v>
      </c>
      <c r="D6" s="82">
        <v>1372560</v>
      </c>
      <c r="E6" s="82">
        <f>7389307.13+1126333.81+68786+180663.85+348304+728703.86+735261.83</f>
        <v>10577360.48</v>
      </c>
      <c r="F6" s="82">
        <f t="shared" ref="F6:F55" si="1">G6-E6</f>
        <v>-3924560.48</v>
      </c>
      <c r="G6" s="82">
        <v>6652800</v>
      </c>
      <c r="H6" s="82">
        <f>11373197.05+1291738.37+185708.93+204300+352167+1252595+1089786.51</f>
        <v>15749492.86</v>
      </c>
      <c r="I6" s="82">
        <f t="shared" ref="I6:I55" si="2">J6-H6</f>
        <v>-4668572.86</v>
      </c>
      <c r="J6" s="82">
        <f>薪酬核定表!D26</f>
        <v>11080920</v>
      </c>
    </row>
    <row r="7" ht="15.75" spans="1:10">
      <c r="A7" s="122" t="s">
        <v>94</v>
      </c>
      <c r="B7" s="82">
        <v>293444.44</v>
      </c>
      <c r="C7" s="82">
        <f t="shared" si="0"/>
        <v>-101286.04</v>
      </c>
      <c r="D7" s="82">
        <v>192158.4</v>
      </c>
      <c r="E7" s="82">
        <f>226250-E8</f>
        <v>50250</v>
      </c>
      <c r="F7" s="82">
        <f t="shared" si="1"/>
        <v>0</v>
      </c>
      <c r="G7" s="82">
        <v>50250</v>
      </c>
      <c r="H7" s="82">
        <f>593443.19-H8</f>
        <v>59430.4999999999</v>
      </c>
      <c r="I7" s="82">
        <v>0</v>
      </c>
      <c r="J7" s="82">
        <v>59430.5</v>
      </c>
    </row>
    <row r="8" ht="15.75" spans="1:10">
      <c r="A8" s="122" t="s">
        <v>95</v>
      </c>
      <c r="B8" s="82"/>
      <c r="C8" s="82">
        <f t="shared" si="0"/>
        <v>0</v>
      </c>
      <c r="D8" s="82"/>
      <c r="E8" s="82">
        <v>176000</v>
      </c>
      <c r="F8" s="82">
        <f t="shared" si="1"/>
        <v>-176000</v>
      </c>
      <c r="G8" s="82"/>
      <c r="H8" s="82">
        <f>35009.55+499003.14</f>
        <v>534012.69</v>
      </c>
      <c r="I8" s="82">
        <f t="shared" si="2"/>
        <v>-534012.69</v>
      </c>
      <c r="J8" s="82">
        <v>0</v>
      </c>
    </row>
    <row r="9" ht="15.75" spans="1:10">
      <c r="A9" s="122" t="s">
        <v>96</v>
      </c>
      <c r="B9" s="82">
        <f>71124+7366.66</f>
        <v>78490.66</v>
      </c>
      <c r="C9" s="82">
        <f t="shared" si="0"/>
        <v>-7375.66</v>
      </c>
      <c r="D9" s="82">
        <f>67158.8+3956.2</f>
        <v>71115</v>
      </c>
      <c r="E9" s="82">
        <f>350892.88+37309.6+41729.28</f>
        <v>429931.76</v>
      </c>
      <c r="F9" s="82">
        <f t="shared" si="1"/>
        <v>-79038.88</v>
      </c>
      <c r="G9" s="82">
        <f>334212.1+16680.78</f>
        <v>350892.88</v>
      </c>
      <c r="H9" s="82">
        <f>1154393.85+311229.64+144202.07</f>
        <v>1609825.56</v>
      </c>
      <c r="I9" s="82">
        <f t="shared" si="2"/>
        <v>-455431.71</v>
      </c>
      <c r="J9" s="82">
        <f>1144533.85+9860</f>
        <v>1154393.85</v>
      </c>
    </row>
    <row r="10" ht="15.75" spans="1:10">
      <c r="A10" s="122" t="s">
        <v>97</v>
      </c>
      <c r="B10" s="82">
        <v>8940</v>
      </c>
      <c r="C10" s="82">
        <f t="shared" si="0"/>
        <v>59688</v>
      </c>
      <c r="D10" s="82">
        <v>68628</v>
      </c>
      <c r="E10" s="82">
        <v>138408</v>
      </c>
      <c r="F10" s="82">
        <f t="shared" si="1"/>
        <v>194232</v>
      </c>
      <c r="G10" s="82">
        <v>332640</v>
      </c>
      <c r="H10" s="82">
        <v>373533</v>
      </c>
      <c r="I10" s="82">
        <f t="shared" si="2"/>
        <v>154623</v>
      </c>
      <c r="J10" s="82">
        <v>528156</v>
      </c>
    </row>
    <row r="11" ht="15.75" spans="1:10">
      <c r="A11" s="122" t="s">
        <v>98</v>
      </c>
      <c r="B11" s="82"/>
      <c r="C11" s="82">
        <f t="shared" si="0"/>
        <v>0</v>
      </c>
      <c r="D11" s="82">
        <v>0</v>
      </c>
      <c r="E11" s="82">
        <v>6750</v>
      </c>
      <c r="F11" s="82">
        <f t="shared" si="1"/>
        <v>-6750</v>
      </c>
      <c r="G11" s="82">
        <v>0</v>
      </c>
      <c r="H11" s="82">
        <v>75765.7</v>
      </c>
      <c r="I11" s="82">
        <f t="shared" si="2"/>
        <v>-75765.7</v>
      </c>
      <c r="J11" s="82">
        <v>0</v>
      </c>
    </row>
    <row r="12" ht="15.75" spans="1:10">
      <c r="A12" s="120" t="s">
        <v>99</v>
      </c>
      <c r="B12" s="121">
        <f>SUM(B13:B36)</f>
        <v>3000235.42</v>
      </c>
      <c r="C12" s="82">
        <f t="shared" si="0"/>
        <v>-2108927.02</v>
      </c>
      <c r="D12" s="82">
        <f>D13+D14+D15+D16+D17+D18+D19+D20+D21+D22+D23+D24+D25+D26+D27+D28+D29+D30+D31+D32+D33+D34+D35+D36</f>
        <v>891308.4</v>
      </c>
      <c r="E12" s="121">
        <f>SUM(E13:E36)</f>
        <v>13561204.47</v>
      </c>
      <c r="F12" s="82">
        <f t="shared" si="1"/>
        <v>-11597332.38</v>
      </c>
      <c r="G12" s="82">
        <f>G13+G14+G15+G16+G17+G18+G19+G20+G21+G22+G23+G24+G25+G26+G27+G28+G29+G30+G31+G32+G33+G34+G35+G36</f>
        <v>1963872.09</v>
      </c>
      <c r="H12" s="121">
        <f>SUM(H13:H36)</f>
        <v>24763747.99</v>
      </c>
      <c r="I12" s="82">
        <f t="shared" si="2"/>
        <v>-22483170.97</v>
      </c>
      <c r="J12" s="82">
        <f>J13+J14+J15+J16+J17+J18+J19+J20+J21+J22+J23+J24+J25+J26+J27+J28+J29+J30+J31+J32+J33+J34+J35+J36</f>
        <v>2280577.02</v>
      </c>
    </row>
    <row r="13" ht="15.75" spans="1:10">
      <c r="A13" s="123" t="s">
        <v>100</v>
      </c>
      <c r="B13" s="82">
        <f>97815.22+671.26</f>
        <v>98486.48</v>
      </c>
      <c r="C13" s="82">
        <f t="shared" si="0"/>
        <v>-33571.26</v>
      </c>
      <c r="D13" s="82">
        <v>64915.22</v>
      </c>
      <c r="E13" s="82">
        <f>81935.88+7895.52</f>
        <v>89831.4</v>
      </c>
      <c r="F13" s="82">
        <f t="shared" si="1"/>
        <v>-7895.52</v>
      </c>
      <c r="G13" s="82">
        <v>81935.88</v>
      </c>
      <c r="H13" s="82">
        <f>256591.24+3719.25-29900.11-12000</f>
        <v>218410.38</v>
      </c>
      <c r="I13" s="82">
        <f t="shared" si="2"/>
        <v>38180.86</v>
      </c>
      <c r="J13" s="82">
        <v>256591.24</v>
      </c>
    </row>
    <row r="14" ht="15.75" spans="1:10">
      <c r="A14" s="123" t="s">
        <v>101</v>
      </c>
      <c r="B14" s="82">
        <v>53342</v>
      </c>
      <c r="C14" s="82">
        <f t="shared" si="0"/>
        <v>0</v>
      </c>
      <c r="D14" s="82">
        <v>53342</v>
      </c>
      <c r="E14" s="82">
        <v>6752.6</v>
      </c>
      <c r="F14" s="82">
        <f t="shared" si="1"/>
        <v>0</v>
      </c>
      <c r="G14" s="82">
        <v>6752.6</v>
      </c>
      <c r="H14" s="82"/>
      <c r="I14" s="82">
        <f t="shared" si="2"/>
        <v>0</v>
      </c>
      <c r="J14" s="82"/>
    </row>
    <row r="15" ht="15.75" spans="1:10">
      <c r="A15" s="123" t="s">
        <v>102</v>
      </c>
      <c r="B15" s="82">
        <v>361600</v>
      </c>
      <c r="C15" s="82">
        <f t="shared" si="0"/>
        <v>-361600</v>
      </c>
      <c r="D15" s="82">
        <v>0</v>
      </c>
      <c r="E15" s="82">
        <v>517750</v>
      </c>
      <c r="F15" s="82">
        <f t="shared" si="1"/>
        <v>-517750</v>
      </c>
      <c r="G15" s="82">
        <v>0</v>
      </c>
      <c r="H15" s="82">
        <v>1592430</v>
      </c>
      <c r="I15" s="82">
        <f t="shared" si="2"/>
        <v>-1592430</v>
      </c>
      <c r="J15" s="82">
        <v>0</v>
      </c>
    </row>
    <row r="16" ht="15.75" spans="1:10">
      <c r="A16" s="123" t="s">
        <v>103</v>
      </c>
      <c r="B16" s="82"/>
      <c r="C16" s="82">
        <f t="shared" si="0"/>
        <v>0</v>
      </c>
      <c r="D16" s="82"/>
      <c r="E16" s="82"/>
      <c r="F16" s="82">
        <f t="shared" si="1"/>
        <v>0</v>
      </c>
      <c r="G16" s="82"/>
      <c r="H16" s="82"/>
      <c r="I16" s="82">
        <f t="shared" si="2"/>
        <v>0</v>
      </c>
      <c r="J16" s="82"/>
    </row>
    <row r="17" ht="15.75" spans="1:10">
      <c r="A17" s="123" t="s">
        <v>104</v>
      </c>
      <c r="B17" s="82">
        <f>7786.05+136556.21</f>
        <v>144342.26</v>
      </c>
      <c r="C17" s="82">
        <f t="shared" si="0"/>
        <v>-136556.21</v>
      </c>
      <c r="D17" s="82">
        <v>7786.05</v>
      </c>
      <c r="E17" s="82">
        <v>40836.05</v>
      </c>
      <c r="F17" s="82">
        <f t="shared" si="1"/>
        <v>1516.2</v>
      </c>
      <c r="G17" s="82">
        <v>42352.25</v>
      </c>
      <c r="H17" s="82">
        <f>31117.93+92341.4</f>
        <v>123459.33</v>
      </c>
      <c r="I17" s="82">
        <f t="shared" si="2"/>
        <v>-89989.4</v>
      </c>
      <c r="J17" s="82">
        <v>33469.93</v>
      </c>
    </row>
    <row r="18" ht="15.75" spans="1:10">
      <c r="A18" s="123" t="s">
        <v>105</v>
      </c>
      <c r="B18" s="82">
        <v>85028.56</v>
      </c>
      <c r="C18" s="82">
        <f t="shared" si="0"/>
        <v>0</v>
      </c>
      <c r="D18" s="82">
        <v>85028.56</v>
      </c>
      <c r="E18" s="82">
        <v>172442.78</v>
      </c>
      <c r="F18" s="82">
        <f t="shared" si="1"/>
        <v>-1516.20000000001</v>
      </c>
      <c r="G18" s="82">
        <v>170926.58</v>
      </c>
      <c r="H18" s="82">
        <f>96840.67+138142.53</f>
        <v>234983.2</v>
      </c>
      <c r="I18" s="82">
        <f t="shared" si="2"/>
        <v>-140494.53</v>
      </c>
      <c r="J18" s="82">
        <v>94488.67</v>
      </c>
    </row>
    <row r="19" ht="15.75" spans="1:10">
      <c r="A19" s="123" t="s">
        <v>106</v>
      </c>
      <c r="B19" s="82">
        <v>152</v>
      </c>
      <c r="C19" s="82">
        <f t="shared" si="0"/>
        <v>0</v>
      </c>
      <c r="D19" s="82">
        <v>152</v>
      </c>
      <c r="E19" s="124">
        <v>7790.85</v>
      </c>
      <c r="F19" s="82">
        <f t="shared" si="1"/>
        <v>0</v>
      </c>
      <c r="G19" s="82">
        <v>7790.85</v>
      </c>
      <c r="H19" s="82">
        <v>924</v>
      </c>
      <c r="I19" s="82">
        <f t="shared" si="2"/>
        <v>34</v>
      </c>
      <c r="J19" s="82">
        <v>958</v>
      </c>
    </row>
    <row r="20" ht="15.75" spans="1:10">
      <c r="A20" s="123" t="s">
        <v>107</v>
      </c>
      <c r="B20" s="82"/>
      <c r="C20" s="82">
        <f t="shared" si="0"/>
        <v>32900</v>
      </c>
      <c r="D20" s="82">
        <v>32900</v>
      </c>
      <c r="E20" s="124"/>
      <c r="F20" s="82">
        <f t="shared" si="1"/>
        <v>33600</v>
      </c>
      <c r="G20" s="82">
        <v>33600</v>
      </c>
      <c r="H20" s="82"/>
      <c r="I20" s="82">
        <f t="shared" si="2"/>
        <v>24600</v>
      </c>
      <c r="J20" s="82">
        <v>24600</v>
      </c>
    </row>
    <row r="21" ht="15.75" spans="1:10">
      <c r="A21" s="123" t="s">
        <v>108</v>
      </c>
      <c r="B21" s="82">
        <v>116370.08</v>
      </c>
      <c r="C21" s="82">
        <f t="shared" si="0"/>
        <v>0</v>
      </c>
      <c r="D21" s="82">
        <v>116370.08</v>
      </c>
      <c r="E21" s="124">
        <f>31684.96+23544.91</f>
        <v>55229.87</v>
      </c>
      <c r="F21" s="82">
        <f t="shared" si="1"/>
        <v>-23544.91</v>
      </c>
      <c r="G21" s="82">
        <v>31684.96</v>
      </c>
      <c r="H21" s="82">
        <f>43207+19017.16</f>
        <v>62224.16</v>
      </c>
      <c r="I21" s="82">
        <f t="shared" si="2"/>
        <v>-21432.24</v>
      </c>
      <c r="J21" s="82">
        <v>40791.92</v>
      </c>
    </row>
    <row r="22" ht="15.75" spans="1:10">
      <c r="A22" s="123" t="s">
        <v>109</v>
      </c>
      <c r="B22" s="82">
        <v>15534</v>
      </c>
      <c r="C22" s="82">
        <f t="shared" si="0"/>
        <v>0</v>
      </c>
      <c r="D22" s="82">
        <v>15534</v>
      </c>
      <c r="E22" s="124">
        <v>174739</v>
      </c>
      <c r="F22" s="82">
        <f t="shared" si="1"/>
        <v>0</v>
      </c>
      <c r="G22" s="82">
        <f>169700+5039</f>
        <v>174739</v>
      </c>
      <c r="H22" s="82"/>
      <c r="I22" s="82">
        <f t="shared" si="2"/>
        <v>0</v>
      </c>
      <c r="J22" s="82"/>
    </row>
    <row r="23" ht="15.75" spans="1:10">
      <c r="A23" s="123" t="s">
        <v>110</v>
      </c>
      <c r="B23" s="82">
        <v>58998.89</v>
      </c>
      <c r="C23" s="82">
        <f t="shared" si="0"/>
        <v>-14753.89</v>
      </c>
      <c r="D23" s="82">
        <v>44245</v>
      </c>
      <c r="E23" s="124">
        <v>160652.25</v>
      </c>
      <c r="F23" s="82">
        <f t="shared" si="1"/>
        <v>-80876.55</v>
      </c>
      <c r="G23" s="82">
        <v>79775.7</v>
      </c>
      <c r="H23" s="82">
        <v>175784.09</v>
      </c>
      <c r="I23" s="82">
        <f t="shared" si="2"/>
        <v>-72019.54</v>
      </c>
      <c r="J23" s="82">
        <v>103764.55</v>
      </c>
    </row>
    <row r="24" ht="15.75" spans="1:10">
      <c r="A24" s="123" t="s">
        <v>111</v>
      </c>
      <c r="B24" s="82">
        <v>70042.45</v>
      </c>
      <c r="C24" s="82">
        <f t="shared" si="0"/>
        <v>-70042.45</v>
      </c>
      <c r="D24" s="82">
        <v>0</v>
      </c>
      <c r="E24" s="124">
        <f>3631475+3346524</f>
        <v>6977999</v>
      </c>
      <c r="F24" s="82">
        <f t="shared" si="1"/>
        <v>-6977999</v>
      </c>
      <c r="G24" s="82"/>
      <c r="H24" s="82">
        <f>5062740+9572207.71</f>
        <v>14634947.71</v>
      </c>
      <c r="I24" s="82">
        <f t="shared" si="2"/>
        <v>-14634947.71</v>
      </c>
      <c r="J24" s="82">
        <v>0</v>
      </c>
    </row>
    <row r="25" ht="15.75" spans="1:10">
      <c r="A25" s="123" t="s">
        <v>112</v>
      </c>
      <c r="B25" s="82">
        <v>7991</v>
      </c>
      <c r="C25" s="82">
        <f t="shared" si="0"/>
        <v>-7991</v>
      </c>
      <c r="D25" s="82"/>
      <c r="E25" s="124"/>
      <c r="F25" s="82">
        <f t="shared" si="1"/>
        <v>0</v>
      </c>
      <c r="G25" s="82"/>
      <c r="H25" s="82">
        <v>18305.46</v>
      </c>
      <c r="I25" s="82">
        <f t="shared" si="2"/>
        <v>-7528</v>
      </c>
      <c r="J25" s="82">
        <v>10777.46</v>
      </c>
    </row>
    <row r="26" ht="15.75" spans="1:10">
      <c r="A26" s="123" t="s">
        <v>113</v>
      </c>
      <c r="B26" s="82">
        <v>31790.31</v>
      </c>
      <c r="C26" s="82">
        <f t="shared" si="0"/>
        <v>-31790.31</v>
      </c>
      <c r="D26" s="82"/>
      <c r="E26" s="124">
        <v>3637</v>
      </c>
      <c r="F26" s="82">
        <f t="shared" si="1"/>
        <v>-3637</v>
      </c>
      <c r="G26" s="82">
        <v>0</v>
      </c>
      <c r="H26" s="82">
        <v>180595</v>
      </c>
      <c r="I26" s="82">
        <f t="shared" si="2"/>
        <v>-180595</v>
      </c>
      <c r="J26" s="82">
        <v>0</v>
      </c>
    </row>
    <row r="27" ht="15.75" spans="1:10">
      <c r="A27" s="123" t="s">
        <v>114</v>
      </c>
      <c r="B27" s="82">
        <f>21421.8+3515.5</f>
        <v>24937.3</v>
      </c>
      <c r="C27" s="82">
        <f t="shared" si="0"/>
        <v>-3515.5</v>
      </c>
      <c r="D27" s="82">
        <v>21421.8</v>
      </c>
      <c r="E27" s="124">
        <f>95786.22+9745</f>
        <v>105531.22</v>
      </c>
      <c r="F27" s="82">
        <f t="shared" si="1"/>
        <v>-4698.19</v>
      </c>
      <c r="G27" s="82">
        <v>100833.03</v>
      </c>
      <c r="H27" s="82">
        <f>103838.16+9827</f>
        <v>113665.16</v>
      </c>
      <c r="I27" s="82">
        <f t="shared" si="2"/>
        <v>0</v>
      </c>
      <c r="J27" s="82">
        <v>113665.16</v>
      </c>
    </row>
    <row r="28" ht="15.75" spans="1:10">
      <c r="A28" s="123" t="s">
        <v>115</v>
      </c>
      <c r="B28" s="82"/>
      <c r="C28" s="82">
        <f t="shared" si="0"/>
        <v>0</v>
      </c>
      <c r="D28" s="82"/>
      <c r="E28" s="124"/>
      <c r="F28" s="82">
        <f t="shared" si="1"/>
        <v>0</v>
      </c>
      <c r="G28" s="82"/>
      <c r="H28" s="82"/>
      <c r="I28" s="82">
        <f t="shared" si="2"/>
        <v>0</v>
      </c>
      <c r="J28" s="82"/>
    </row>
    <row r="29" ht="15.75" spans="1:10">
      <c r="A29" s="123" t="s">
        <v>116</v>
      </c>
      <c r="B29" s="82">
        <v>15653.89</v>
      </c>
      <c r="C29" s="82">
        <f t="shared" si="0"/>
        <v>0</v>
      </c>
      <c r="D29" s="82">
        <v>15653.89</v>
      </c>
      <c r="E29" s="82">
        <v>17421.01</v>
      </c>
      <c r="F29" s="82">
        <f t="shared" si="1"/>
        <v>0</v>
      </c>
      <c r="G29" s="82">
        <v>17421.01</v>
      </c>
      <c r="H29" s="82">
        <v>2150</v>
      </c>
      <c r="I29" s="82">
        <f t="shared" si="2"/>
        <v>0</v>
      </c>
      <c r="J29" s="82">
        <v>2150</v>
      </c>
    </row>
    <row r="30" ht="15.75" spans="1:10">
      <c r="A30" s="123" t="s">
        <v>117</v>
      </c>
      <c r="B30" s="82">
        <v>2762.36</v>
      </c>
      <c r="C30" s="82">
        <f t="shared" si="0"/>
        <v>31551.64</v>
      </c>
      <c r="D30" s="82">
        <v>34314</v>
      </c>
      <c r="E30" s="82">
        <v>3000</v>
      </c>
      <c r="F30" s="82">
        <f t="shared" si="1"/>
        <v>163320</v>
      </c>
      <c r="G30" s="82">
        <v>166320</v>
      </c>
      <c r="H30" s="82">
        <v>11000</v>
      </c>
      <c r="I30" s="82">
        <f t="shared" si="2"/>
        <v>266023</v>
      </c>
      <c r="J30" s="82">
        <f>薪酬核定表!D33</f>
        <v>277023</v>
      </c>
    </row>
    <row r="31" ht="15.75" spans="1:10">
      <c r="A31" s="123" t="s">
        <v>118</v>
      </c>
      <c r="B31" s="82"/>
      <c r="C31" s="82">
        <f t="shared" si="0"/>
        <v>27451.2</v>
      </c>
      <c r="D31" s="82">
        <v>27451.2</v>
      </c>
      <c r="E31" s="82">
        <v>55142.37</v>
      </c>
      <c r="F31" s="82">
        <f t="shared" si="1"/>
        <v>77913.63</v>
      </c>
      <c r="G31" s="82">
        <v>133056</v>
      </c>
      <c r="H31" s="82">
        <v>113301.67</v>
      </c>
      <c r="I31" s="82">
        <f t="shared" si="2"/>
        <v>108316.73</v>
      </c>
      <c r="J31" s="82">
        <f>薪酬核定表!D32</f>
        <v>221618.4</v>
      </c>
    </row>
    <row r="32" ht="15.75" spans="1:10">
      <c r="A32" s="123" t="s">
        <v>119</v>
      </c>
      <c r="B32" s="82">
        <f>293444.44+58092.5</f>
        <v>351536.94</v>
      </c>
      <c r="C32" s="82">
        <f t="shared" si="0"/>
        <v>-351536.94</v>
      </c>
      <c r="D32" s="82">
        <v>0</v>
      </c>
      <c r="E32" s="82">
        <f>716422.13+123780.55+35775.62</f>
        <v>875978.3</v>
      </c>
      <c r="F32" s="82">
        <f t="shared" si="1"/>
        <v>-875978.3</v>
      </c>
      <c r="G32" s="82">
        <v>0</v>
      </c>
      <c r="H32" s="82">
        <f>605871.08+94350.92+17724.43+85876.09+29900.11</f>
        <v>833722.63</v>
      </c>
      <c r="I32" s="82">
        <f t="shared" si="2"/>
        <v>-833722.63</v>
      </c>
      <c r="J32" s="82">
        <v>0</v>
      </c>
    </row>
    <row r="33" ht="15.75" spans="1:10">
      <c r="A33" s="123" t="s">
        <v>120</v>
      </c>
      <c r="B33" s="82"/>
      <c r="C33" s="82">
        <f t="shared" si="0"/>
        <v>0</v>
      </c>
      <c r="D33" s="82"/>
      <c r="E33" s="82"/>
      <c r="F33" s="82">
        <f t="shared" si="1"/>
        <v>0</v>
      </c>
      <c r="G33" s="82"/>
      <c r="H33" s="82">
        <v>50000</v>
      </c>
      <c r="I33" s="82">
        <f t="shared" si="2"/>
        <v>841</v>
      </c>
      <c r="J33" s="82">
        <v>50841</v>
      </c>
    </row>
    <row r="34" ht="15.75" spans="1:10">
      <c r="A34" s="123" t="s">
        <v>121</v>
      </c>
      <c r="B34" s="82">
        <f>3460+8720</f>
        <v>12180</v>
      </c>
      <c r="C34" s="82">
        <f t="shared" si="0"/>
        <v>4986.95</v>
      </c>
      <c r="D34" s="82">
        <v>17166.95</v>
      </c>
      <c r="E34" s="82">
        <f>3465.63+3245.9</f>
        <v>6711.53</v>
      </c>
      <c r="F34" s="82">
        <f t="shared" si="1"/>
        <v>0</v>
      </c>
      <c r="G34" s="82">
        <v>6711.53</v>
      </c>
      <c r="H34" s="82">
        <f>18269+841</f>
        <v>19110</v>
      </c>
      <c r="I34" s="82">
        <f t="shared" si="2"/>
        <v>0</v>
      </c>
      <c r="J34" s="82">
        <v>19110</v>
      </c>
    </row>
    <row r="35" ht="15.75" spans="1:10">
      <c r="A35" s="123" t="s">
        <v>122</v>
      </c>
      <c r="B35" s="82"/>
      <c r="C35" s="82">
        <f t="shared" si="0"/>
        <v>0</v>
      </c>
      <c r="D35" s="82"/>
      <c r="E35" s="82"/>
      <c r="F35" s="82">
        <f t="shared" si="1"/>
        <v>0</v>
      </c>
      <c r="G35" s="82"/>
      <c r="H35" s="82"/>
      <c r="I35" s="82">
        <f t="shared" si="2"/>
        <v>0</v>
      </c>
      <c r="J35" s="82"/>
    </row>
    <row r="36" ht="15.75" spans="1:10">
      <c r="A36" s="123" t="s">
        <v>123</v>
      </c>
      <c r="B36" s="82">
        <f>381461.65+1040777.13+127248.12</f>
        <v>1549486.9</v>
      </c>
      <c r="C36" s="82">
        <f t="shared" si="0"/>
        <v>-1194459.25</v>
      </c>
      <c r="D36" s="82">
        <v>355027.65</v>
      </c>
      <c r="E36" s="82">
        <f>1179113.42+3076967.71+100182.72-66504.61</f>
        <v>4289759.24</v>
      </c>
      <c r="F36" s="82">
        <f t="shared" si="1"/>
        <v>-3379786.54</v>
      </c>
      <c r="G36" s="82">
        <f>213795.37+274998.33+23276.85+29460.74+14270+23670+143550+62266.68+6750+8063.5+9871.23+100000</f>
        <v>909972.7</v>
      </c>
      <c r="H36" s="82">
        <f>1188097.89+5055202.24+123435.07+12000</f>
        <v>6378735.2</v>
      </c>
      <c r="I36" s="82">
        <f t="shared" si="2"/>
        <v>-5348007.51</v>
      </c>
      <c r="J36" s="82">
        <f>868227.7+50199.99+97800+14500</f>
        <v>1030727.69</v>
      </c>
    </row>
    <row r="37" ht="15.75" spans="1:10">
      <c r="A37" s="125" t="s">
        <v>124</v>
      </c>
      <c r="B37" s="82">
        <f>SUM(B38:B43)</f>
        <v>50000</v>
      </c>
      <c r="C37" s="82">
        <f t="shared" si="0"/>
        <v>0</v>
      </c>
      <c r="D37" s="82">
        <v>50000</v>
      </c>
      <c r="E37" s="82">
        <f>SUM(E38:E43)</f>
        <v>406988.61</v>
      </c>
      <c r="F37" s="82">
        <f t="shared" si="1"/>
        <v>-147884</v>
      </c>
      <c r="G37" s="82">
        <f>G38+G39+G40+G41+G42+G43</f>
        <v>259104.61</v>
      </c>
      <c r="H37" s="82">
        <f>SUM(H38:H43)</f>
        <v>220428</v>
      </c>
      <c r="I37" s="82">
        <f t="shared" si="2"/>
        <v>0</v>
      </c>
      <c r="J37" s="82">
        <f>J38+J39+J40+J41+J42+J43</f>
        <v>220428</v>
      </c>
    </row>
    <row r="38" ht="15.75" spans="1:10">
      <c r="A38" s="123" t="s">
        <v>125</v>
      </c>
      <c r="B38" s="82"/>
      <c r="C38" s="82">
        <f t="shared" si="0"/>
        <v>0</v>
      </c>
      <c r="D38" s="82"/>
      <c r="E38" s="82"/>
      <c r="F38" s="82">
        <f t="shared" si="1"/>
        <v>0</v>
      </c>
      <c r="G38" s="82"/>
      <c r="H38" s="82"/>
      <c r="I38" s="82">
        <f t="shared" si="2"/>
        <v>0</v>
      </c>
      <c r="J38" s="82"/>
    </row>
    <row r="39" ht="15.75" spans="1:10">
      <c r="A39" s="123" t="s">
        <v>126</v>
      </c>
      <c r="B39" s="82"/>
      <c r="C39" s="82">
        <f t="shared" si="0"/>
        <v>0</v>
      </c>
      <c r="D39" s="82"/>
      <c r="E39" s="82"/>
      <c r="F39" s="82">
        <f t="shared" si="1"/>
        <v>0</v>
      </c>
      <c r="G39" s="82"/>
      <c r="H39" s="82"/>
      <c r="I39" s="82">
        <f t="shared" si="2"/>
        <v>0</v>
      </c>
      <c r="J39" s="82"/>
    </row>
    <row r="40" ht="15.75" spans="1:10">
      <c r="A40" s="123" t="s">
        <v>127</v>
      </c>
      <c r="B40" s="82"/>
      <c r="C40" s="82">
        <f t="shared" si="0"/>
        <v>0</v>
      </c>
      <c r="D40" s="82"/>
      <c r="E40" s="82">
        <v>97884</v>
      </c>
      <c r="F40" s="82">
        <f t="shared" si="1"/>
        <v>-97884</v>
      </c>
      <c r="G40" s="82"/>
      <c r="H40" s="82"/>
      <c r="I40" s="82">
        <f t="shared" si="2"/>
        <v>0</v>
      </c>
      <c r="J40" s="82"/>
    </row>
    <row r="41" ht="15.75" spans="1:10">
      <c r="A41" s="123" t="s">
        <v>128</v>
      </c>
      <c r="B41" s="82"/>
      <c r="C41" s="82">
        <f t="shared" si="0"/>
        <v>0</v>
      </c>
      <c r="D41" s="82"/>
      <c r="E41" s="82">
        <v>66504.61</v>
      </c>
      <c r="F41" s="82">
        <f t="shared" si="1"/>
        <v>0</v>
      </c>
      <c r="G41" s="82">
        <v>66504.61</v>
      </c>
      <c r="H41" s="82">
        <v>21528</v>
      </c>
      <c r="I41" s="82">
        <f t="shared" si="2"/>
        <v>0</v>
      </c>
      <c r="J41" s="82">
        <v>21528</v>
      </c>
    </row>
    <row r="42" ht="15.75" spans="1:10">
      <c r="A42" s="123" t="s">
        <v>129</v>
      </c>
      <c r="B42" s="82"/>
      <c r="C42" s="82">
        <f t="shared" si="0"/>
        <v>0</v>
      </c>
      <c r="D42" s="82"/>
      <c r="E42" s="82">
        <v>31600</v>
      </c>
      <c r="F42" s="82">
        <f t="shared" si="1"/>
        <v>0</v>
      </c>
      <c r="G42" s="82">
        <v>31600</v>
      </c>
      <c r="H42" s="82">
        <v>46400</v>
      </c>
      <c r="I42" s="82">
        <f t="shared" si="2"/>
        <v>0</v>
      </c>
      <c r="J42" s="82">
        <v>46400</v>
      </c>
    </row>
    <row r="43" ht="15.75" spans="1:10">
      <c r="A43" s="123" t="s">
        <v>130</v>
      </c>
      <c r="B43" s="82">
        <f>[1]科目余额表!$H$179</f>
        <v>50000</v>
      </c>
      <c r="C43" s="82">
        <f t="shared" si="0"/>
        <v>0</v>
      </c>
      <c r="D43" s="82">
        <v>50000</v>
      </c>
      <c r="E43" s="82">
        <v>211000</v>
      </c>
      <c r="F43" s="82">
        <f t="shared" si="1"/>
        <v>-50000</v>
      </c>
      <c r="G43" s="82">
        <v>161000</v>
      </c>
      <c r="H43" s="82">
        <v>152500</v>
      </c>
      <c r="I43" s="82">
        <f t="shared" si="2"/>
        <v>0</v>
      </c>
      <c r="J43" s="82">
        <v>152500</v>
      </c>
    </row>
    <row r="44" ht="20.25" customHeight="1" spans="1:10">
      <c r="A44" s="126" t="s">
        <v>131</v>
      </c>
      <c r="B44" s="121">
        <f>SUM(B45:B49)</f>
        <v>4779.2</v>
      </c>
      <c r="C44" s="82">
        <f t="shared" si="0"/>
        <v>349670.877847833</v>
      </c>
      <c r="D44" s="82">
        <f>固定资产折旧计算表!C18</f>
        <v>354450.077847833</v>
      </c>
      <c r="E44" s="121">
        <f>SUM(E45:E49)</f>
        <v>39507.19</v>
      </c>
      <c r="F44" s="82">
        <f t="shared" si="1"/>
        <v>1834050.25102</v>
      </c>
      <c r="G44" s="82">
        <f>固定资产折旧计算表!H18</f>
        <v>1873557.44102</v>
      </c>
      <c r="H44" s="121">
        <f>SUM(H45:H49)</f>
        <v>46420.47</v>
      </c>
      <c r="I44" s="82">
        <f t="shared" si="2"/>
        <v>1889248.33419486</v>
      </c>
      <c r="J44" s="82">
        <f>固定资产折旧计算表!M18</f>
        <v>1935668.80419486</v>
      </c>
    </row>
    <row r="45" ht="15.75" spans="1:10">
      <c r="A45" s="122" t="s">
        <v>49</v>
      </c>
      <c r="B45" s="82"/>
      <c r="C45" s="82">
        <f t="shared" si="0"/>
        <v>0</v>
      </c>
      <c r="D45" s="82"/>
      <c r="E45" s="82"/>
      <c r="F45" s="82">
        <f t="shared" si="1"/>
        <v>0</v>
      </c>
      <c r="G45" s="82"/>
      <c r="H45" s="82"/>
      <c r="I45" s="82">
        <f t="shared" si="2"/>
        <v>0</v>
      </c>
      <c r="J45" s="82"/>
    </row>
    <row r="46" ht="15.75" spans="1:10">
      <c r="A46" s="122" t="s">
        <v>50</v>
      </c>
      <c r="B46" s="82">
        <f>713.34+224.89+514.45+231.02</f>
        <v>1683.7</v>
      </c>
      <c r="C46" s="82"/>
      <c r="D46" s="82"/>
      <c r="E46" s="82">
        <f>3483.02+224.89+377.75+664.45+315.1</f>
        <v>5065.21</v>
      </c>
      <c r="F46" s="82"/>
      <c r="G46" s="82"/>
      <c r="H46" s="82">
        <f>5943.27+327.64+407.17+778.14+315.1</f>
        <v>7771.32</v>
      </c>
      <c r="I46" s="82"/>
      <c r="J46" s="82"/>
    </row>
    <row r="47" ht="15.75" spans="1:10">
      <c r="A47" s="122" t="s">
        <v>51</v>
      </c>
      <c r="B47" s="82"/>
      <c r="C47" s="82">
        <f t="shared" si="0"/>
        <v>0</v>
      </c>
      <c r="D47" s="82"/>
      <c r="E47" s="82">
        <f>127.78+3375+4906.1+433.61+16793.43</f>
        <v>25635.92</v>
      </c>
      <c r="F47" s="82"/>
      <c r="G47" s="82"/>
      <c r="H47" s="82">
        <f>127.78+4708.33+5184.98+582.22+16793.42</f>
        <v>27396.73</v>
      </c>
      <c r="I47" s="82"/>
      <c r="J47" s="82"/>
    </row>
    <row r="48" ht="15.75" spans="1:10">
      <c r="A48" s="122" t="s">
        <v>52</v>
      </c>
      <c r="B48" s="82">
        <f>402.5+451.42+1848.19+393.39</f>
        <v>3095.5</v>
      </c>
      <c r="C48" s="82"/>
      <c r="D48" s="82"/>
      <c r="E48" s="82">
        <f>3162.08+642.83+281.67+3963.82+755.66</f>
        <v>8806.06</v>
      </c>
      <c r="F48" s="82"/>
      <c r="G48" s="82"/>
      <c r="H48" s="82">
        <f>3162.08+1013.55+281.67+4914.07+1881.05</f>
        <v>11252.42</v>
      </c>
      <c r="I48" s="82"/>
      <c r="J48" s="82"/>
    </row>
    <row r="49" ht="15.75" spans="1:10">
      <c r="A49" s="123" t="s">
        <v>132</v>
      </c>
      <c r="B49" s="82"/>
      <c r="C49" s="82">
        <f t="shared" si="0"/>
        <v>0</v>
      </c>
      <c r="D49" s="82"/>
      <c r="E49" s="82"/>
      <c r="F49" s="82">
        <f t="shared" si="1"/>
        <v>0</v>
      </c>
      <c r="G49" s="82"/>
      <c r="H49" s="82"/>
      <c r="I49" s="82"/>
      <c r="J49" s="82"/>
    </row>
    <row r="50" ht="22.5" customHeight="1" spans="1:10">
      <c r="A50" s="126" t="s">
        <v>133</v>
      </c>
      <c r="B50" s="82"/>
      <c r="C50" s="82">
        <f t="shared" si="0"/>
        <v>0</v>
      </c>
      <c r="D50" s="82"/>
      <c r="E50" s="82"/>
      <c r="F50" s="82">
        <f t="shared" si="1"/>
        <v>0</v>
      </c>
      <c r="G50" s="82"/>
      <c r="H50" s="82"/>
      <c r="I50" s="82"/>
      <c r="J50" s="82"/>
    </row>
    <row r="51" ht="15.75" spans="1:10">
      <c r="A51" s="121" t="s">
        <v>134</v>
      </c>
      <c r="B51" s="82">
        <f>SUM(B52:B54)</f>
        <v>12037.8</v>
      </c>
      <c r="C51" s="82">
        <f t="shared" si="0"/>
        <v>0</v>
      </c>
      <c r="D51" s="82">
        <v>12037.8</v>
      </c>
      <c r="E51" s="82">
        <f>SUM(E52:E54)</f>
        <v>29638.99</v>
      </c>
      <c r="F51" s="82">
        <f t="shared" si="1"/>
        <v>0</v>
      </c>
      <c r="G51" s="82">
        <v>29638.99</v>
      </c>
      <c r="H51" s="82">
        <f>SUM(H52:H54)</f>
        <v>28473.02</v>
      </c>
      <c r="I51" s="82">
        <f t="shared" si="2"/>
        <v>0</v>
      </c>
      <c r="J51" s="82">
        <v>28473.02</v>
      </c>
    </row>
    <row r="52" ht="15.75" spans="1:10">
      <c r="A52" s="82" t="s">
        <v>135</v>
      </c>
      <c r="B52" s="82"/>
      <c r="C52" s="82">
        <f t="shared" si="0"/>
        <v>0</v>
      </c>
      <c r="D52" s="82"/>
      <c r="E52" s="82"/>
      <c r="F52" s="82">
        <f t="shared" si="1"/>
        <v>0</v>
      </c>
      <c r="G52" s="82"/>
      <c r="H52" s="82"/>
      <c r="I52" s="82">
        <f t="shared" si="2"/>
        <v>0</v>
      </c>
      <c r="J52" s="82"/>
    </row>
    <row r="53" ht="15.75" spans="1:10">
      <c r="A53" s="82" t="s">
        <v>136</v>
      </c>
      <c r="B53" s="82">
        <f>[1]科目余额表!$H$183</f>
        <v>-4986.66</v>
      </c>
      <c r="C53" s="82">
        <f t="shared" si="0"/>
        <v>4986.66</v>
      </c>
      <c r="D53" s="82"/>
      <c r="E53" s="82"/>
      <c r="F53" s="82">
        <f t="shared" si="1"/>
        <v>0</v>
      </c>
      <c r="G53" s="82"/>
      <c r="H53" s="82"/>
      <c r="I53" s="82">
        <f t="shared" si="2"/>
        <v>0</v>
      </c>
      <c r="J53" s="82"/>
    </row>
    <row r="54" ht="15.75" spans="1:10">
      <c r="A54" s="82" t="s">
        <v>137</v>
      </c>
      <c r="B54" s="82">
        <f>[1]科目余额表!$H$182</f>
        <v>17024.46</v>
      </c>
      <c r="C54" s="82">
        <f t="shared" si="0"/>
        <v>-17024.46</v>
      </c>
      <c r="D54" s="82"/>
      <c r="E54" s="82">
        <v>29638.99</v>
      </c>
      <c r="F54" s="82">
        <f t="shared" si="1"/>
        <v>0</v>
      </c>
      <c r="G54" s="82">
        <v>29638.99</v>
      </c>
      <c r="H54" s="82">
        <v>28473.02</v>
      </c>
      <c r="I54" s="82">
        <f t="shared" si="2"/>
        <v>0</v>
      </c>
      <c r="J54" s="82">
        <v>28473.02</v>
      </c>
    </row>
    <row r="55" ht="15.75" spans="1:10">
      <c r="A55" s="121" t="s">
        <v>138</v>
      </c>
      <c r="B55" s="82">
        <f>B5+B12+B37+B44+B50+B51</f>
        <v>8312888.98</v>
      </c>
      <c r="C55" s="82">
        <f t="shared" ref="C55:J55" si="3">C5+C12+C37+C44+C50+C51</f>
        <v>-5492789.70215217</v>
      </c>
      <c r="D55" s="82">
        <f t="shared" si="3"/>
        <v>2820099.27784783</v>
      </c>
      <c r="E55" s="82">
        <f t="shared" si="3"/>
        <v>25416039.5</v>
      </c>
      <c r="F55" s="82">
        <f t="shared" si="1"/>
        <v>-13953533.48898</v>
      </c>
      <c r="G55" s="82">
        <f>G5+G12+G37+G44+G50+G51</f>
        <v>11462506.01102</v>
      </c>
      <c r="H55" s="82">
        <f t="shared" si="3"/>
        <v>43461129.79</v>
      </c>
      <c r="I55" s="82">
        <f t="shared" si="2"/>
        <v>-26232513.0958051</v>
      </c>
      <c r="J55" s="82">
        <f t="shared" si="3"/>
        <v>17228616.6941949</v>
      </c>
    </row>
  </sheetData>
  <mergeCells count="1">
    <mergeCell ref="A2:J2"/>
  </mergeCells>
  <pageMargins left="0.511811023622047" right="0.511811023622047" top="0.748031496062992" bottom="0.748031496062992" header="0.31496062992126" footer="0.31496062992126"/>
  <pageSetup paperSize="9" orientation="landscape"/>
  <headerFooter>
    <oddFooter>&amp;C第 &amp;P 页，共 &amp;N 页</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8"/>
  <sheetViews>
    <sheetView workbookViewId="0">
      <selection activeCell="A2" sqref="A2:D2"/>
    </sheetView>
  </sheetViews>
  <sheetFormatPr defaultColWidth="9" defaultRowHeight="13.5" outlineLevelCol="3"/>
  <cols>
    <col min="1" max="1" width="37.75" customWidth="1"/>
    <col min="2" max="4" width="16.875" customWidth="1"/>
  </cols>
  <sheetData>
    <row r="1" ht="20.25" spans="1:2">
      <c r="A1" s="91" t="s">
        <v>139</v>
      </c>
      <c r="B1" s="92"/>
    </row>
    <row r="2" ht="25.5" customHeight="1" spans="1:4">
      <c r="A2" s="93" t="s">
        <v>140</v>
      </c>
      <c r="B2" s="93"/>
      <c r="C2" s="93"/>
      <c r="D2" s="93"/>
    </row>
    <row r="3" spans="1:2">
      <c r="A3" s="94"/>
      <c r="B3" s="94"/>
    </row>
    <row r="4" ht="43.5" customHeight="1" spans="1:4">
      <c r="A4" s="95" t="s">
        <v>141</v>
      </c>
      <c r="B4" s="96" t="s">
        <v>142</v>
      </c>
      <c r="C4" s="96" t="s">
        <v>21</v>
      </c>
      <c r="D4" s="96" t="s">
        <v>22</v>
      </c>
    </row>
    <row r="5" ht="24" customHeight="1" spans="1:4">
      <c r="A5" s="97" t="s">
        <v>143</v>
      </c>
      <c r="B5" s="98"/>
      <c r="C5" s="98"/>
      <c r="D5" s="98"/>
    </row>
    <row r="6" ht="24" customHeight="1" spans="1:4">
      <c r="A6" s="99" t="s">
        <v>144</v>
      </c>
      <c r="B6" s="100">
        <v>126</v>
      </c>
      <c r="C6" s="100">
        <v>599</v>
      </c>
      <c r="D6" s="100">
        <v>975</v>
      </c>
    </row>
    <row r="7" ht="24" customHeight="1" spans="1:4">
      <c r="A7" s="99" t="s">
        <v>145</v>
      </c>
      <c r="B7" s="100">
        <v>14</v>
      </c>
      <c r="C7" s="100">
        <v>66</v>
      </c>
      <c r="D7" s="100">
        <v>102</v>
      </c>
    </row>
    <row r="8" ht="24" customHeight="1" spans="1:4">
      <c r="A8" s="101" t="s">
        <v>146</v>
      </c>
      <c r="B8" s="102"/>
      <c r="C8" s="102"/>
      <c r="D8" s="102"/>
    </row>
    <row r="9" ht="24" customHeight="1" spans="1:4">
      <c r="A9" s="103" t="s">
        <v>147</v>
      </c>
      <c r="B9" s="104">
        <v>15</v>
      </c>
      <c r="C9" s="104">
        <v>15</v>
      </c>
      <c r="D9" s="104">
        <v>11</v>
      </c>
    </row>
    <row r="10" ht="24" customHeight="1" spans="1:4">
      <c r="A10" s="101" t="s">
        <v>148</v>
      </c>
      <c r="B10" s="104"/>
      <c r="C10" s="104"/>
      <c r="D10" s="104"/>
    </row>
    <row r="11" ht="24" customHeight="1" spans="1:4">
      <c r="A11" s="99" t="s">
        <v>149</v>
      </c>
      <c r="B11" s="104">
        <v>19.38</v>
      </c>
      <c r="C11" s="104">
        <v>18.86</v>
      </c>
      <c r="D11" s="104">
        <v>19.08</v>
      </c>
    </row>
    <row r="12" ht="24" customHeight="1" spans="1:4">
      <c r="A12" s="99" t="s">
        <v>150</v>
      </c>
      <c r="B12" s="104">
        <f>[2]基本情况表!B11/[2]基本情况表!B18</f>
        <v>12</v>
      </c>
      <c r="C12" s="104">
        <v>13.72</v>
      </c>
      <c r="D12" s="104">
        <v>13.41</v>
      </c>
    </row>
    <row r="13" ht="24" customHeight="1" spans="1:4">
      <c r="A13" s="99" t="s">
        <v>151</v>
      </c>
      <c r="B13" s="104"/>
      <c r="C13" s="104"/>
      <c r="D13" s="104"/>
    </row>
    <row r="14" ht="24" customHeight="1" spans="1:4">
      <c r="A14" s="101" t="s">
        <v>152</v>
      </c>
      <c r="B14" s="105">
        <f>SUM(B15:B20)</f>
        <v>2820099.27784783</v>
      </c>
      <c r="C14" s="105">
        <f>SUM(C15:C20)</f>
        <v>11462506.01102</v>
      </c>
      <c r="D14" s="105">
        <f>SUM(D15:D20)</f>
        <v>17228616.6941949</v>
      </c>
    </row>
    <row r="15" ht="24" customHeight="1" spans="1:4">
      <c r="A15" s="99" t="s">
        <v>153</v>
      </c>
      <c r="B15" s="106">
        <f>教育成本归集表!D5</f>
        <v>1512303</v>
      </c>
      <c r="C15" s="106">
        <f>教育成本归集表!G5</f>
        <v>7336332.88</v>
      </c>
      <c r="D15" s="106">
        <f>教育成本归集表!J5</f>
        <v>12763469.85</v>
      </c>
    </row>
    <row r="16" ht="24" customHeight="1" spans="1:4">
      <c r="A16" s="99" t="s">
        <v>154</v>
      </c>
      <c r="B16" s="106">
        <f>教育成本归集表!D12</f>
        <v>891308.4</v>
      </c>
      <c r="C16" s="106">
        <f>教育成本归集表!G12</f>
        <v>1963872.09</v>
      </c>
      <c r="D16" s="106">
        <f>教育成本归集表!J12</f>
        <v>2280577.02</v>
      </c>
    </row>
    <row r="17" ht="24" customHeight="1" spans="1:4">
      <c r="A17" s="99" t="s">
        <v>155</v>
      </c>
      <c r="B17" s="106">
        <f>教育成本归集表!D37</f>
        <v>50000</v>
      </c>
      <c r="C17" s="106">
        <f>教育成本归集表!G37</f>
        <v>259104.61</v>
      </c>
      <c r="D17" s="106">
        <f>教育成本归集表!J37</f>
        <v>220428</v>
      </c>
    </row>
    <row r="18" ht="24" customHeight="1" spans="1:4">
      <c r="A18" s="99" t="s">
        <v>156</v>
      </c>
      <c r="B18" s="106">
        <f>教育成本归集表!D44</f>
        <v>354450.077847833</v>
      </c>
      <c r="C18" s="106">
        <f>教育成本归集表!G44</f>
        <v>1873557.44102</v>
      </c>
      <c r="D18" s="106">
        <f>教育成本归集表!J44</f>
        <v>1935668.80419486</v>
      </c>
    </row>
    <row r="19" ht="24" customHeight="1" spans="1:4">
      <c r="A19" s="107" t="s">
        <v>157</v>
      </c>
      <c r="B19" s="106">
        <f>教育成本归集表!B50</f>
        <v>0</v>
      </c>
      <c r="C19" s="106">
        <f>教育成本归集表!E50</f>
        <v>0</v>
      </c>
      <c r="D19" s="106">
        <f>教育成本归集表!J50</f>
        <v>0</v>
      </c>
    </row>
    <row r="20" ht="24" customHeight="1" spans="1:4">
      <c r="A20" s="99" t="s">
        <v>158</v>
      </c>
      <c r="B20" s="106">
        <f>教育成本归集表!D51</f>
        <v>12037.8</v>
      </c>
      <c r="C20" s="106">
        <f>教育成本归集表!G51</f>
        <v>29638.99</v>
      </c>
      <c r="D20" s="106">
        <f>教育成本归集表!J51</f>
        <v>28473.02</v>
      </c>
    </row>
    <row r="21" ht="24" customHeight="1" spans="1:4">
      <c r="A21" s="101" t="s">
        <v>159</v>
      </c>
      <c r="B21" s="108">
        <v>191700</v>
      </c>
      <c r="C21" s="108">
        <v>731400</v>
      </c>
      <c r="D21" s="108">
        <v>1034600</v>
      </c>
    </row>
    <row r="22" ht="24" customHeight="1" spans="1:4">
      <c r="A22" s="101" t="s">
        <v>160</v>
      </c>
      <c r="B22" s="106">
        <f>B14-B21</f>
        <v>2628399.27784783</v>
      </c>
      <c r="C22" s="106">
        <f t="shared" ref="C22:D22" si="0">C14-C21</f>
        <v>10731106.01102</v>
      </c>
      <c r="D22" s="106">
        <f t="shared" si="0"/>
        <v>16194016.6941949</v>
      </c>
    </row>
    <row r="23" ht="24" customHeight="1" spans="1:4">
      <c r="A23" s="101" t="s">
        <v>161</v>
      </c>
      <c r="B23" s="105">
        <f>B22/B6</f>
        <v>20860.3117289511</v>
      </c>
      <c r="C23" s="105">
        <f t="shared" ref="C23:D23" si="1">C22/C6</f>
        <v>17915.035076828</v>
      </c>
      <c r="D23" s="105">
        <f t="shared" si="1"/>
        <v>16609.2478914819</v>
      </c>
    </row>
    <row r="24" ht="24" customHeight="1" spans="1:4">
      <c r="A24" s="99" t="s">
        <v>162</v>
      </c>
      <c r="B24" s="106">
        <f>B23*0.56</f>
        <v>11681.7745682126</v>
      </c>
      <c r="C24" s="106">
        <f t="shared" ref="C24:D24" si="2">C23*0.56</f>
        <v>10032.4196430237</v>
      </c>
      <c r="D24" s="106">
        <f t="shared" si="2"/>
        <v>9301.17881922987</v>
      </c>
    </row>
    <row r="25" ht="24" customHeight="1" spans="1:4">
      <c r="A25" s="99" t="s">
        <v>163</v>
      </c>
      <c r="B25" s="106">
        <f>B23*0.8</f>
        <v>16688.2493831608</v>
      </c>
      <c r="C25" s="106">
        <f t="shared" ref="C25:D25" si="3">C23*0.8</f>
        <v>14332.0280614624</v>
      </c>
      <c r="D25" s="106">
        <f t="shared" si="3"/>
        <v>13287.3983131855</v>
      </c>
    </row>
    <row r="26" ht="24" customHeight="1" spans="1:4">
      <c r="A26" s="99" t="s">
        <v>164</v>
      </c>
      <c r="B26" s="109">
        <f>(B24+C24+D24)/3</f>
        <v>10338.4576768221</v>
      </c>
      <c r="C26" s="110"/>
      <c r="D26" s="111"/>
    </row>
    <row r="27" ht="27.75" customHeight="1" spans="1:4">
      <c r="A27" s="99" t="s">
        <v>165</v>
      </c>
      <c r="B27" s="112">
        <f>(B25+C25+D25)/3</f>
        <v>14769.2252526029</v>
      </c>
      <c r="C27" s="113"/>
      <c r="D27" s="114"/>
    </row>
    <row r="28" spans="1:4">
      <c r="A28" s="56"/>
      <c r="B28" s="56"/>
      <c r="C28" s="56"/>
      <c r="D28" s="56"/>
    </row>
  </sheetData>
  <mergeCells count="4">
    <mergeCell ref="A2:D2"/>
    <mergeCell ref="A3:B3"/>
    <mergeCell ref="B26:D26"/>
    <mergeCell ref="B27:D27"/>
  </mergeCells>
  <pageMargins left="0.7" right="0.7" top="0.75" bottom="0.75"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G12" sqref="G12"/>
    </sheetView>
  </sheetViews>
  <sheetFormatPr defaultColWidth="9" defaultRowHeight="13.5" outlineLevelCol="4"/>
  <cols>
    <col min="1" max="1" width="15" customWidth="1"/>
    <col min="2" max="2" width="13.25" customWidth="1"/>
    <col min="3" max="3" width="13.125" customWidth="1"/>
    <col min="4" max="4" width="12.875" customWidth="1"/>
    <col min="5" max="5" width="12.125" customWidth="1"/>
  </cols>
  <sheetData>
    <row r="1" ht="25.5" spans="1:5">
      <c r="A1" s="61" t="s">
        <v>166</v>
      </c>
      <c r="B1" s="61"/>
      <c r="C1" s="61"/>
      <c r="D1" s="61"/>
      <c r="E1" s="61"/>
    </row>
    <row r="2" ht="33" customHeight="1" spans="1:5">
      <c r="A2" s="62" t="s">
        <v>167</v>
      </c>
      <c r="B2" s="62" t="s">
        <v>168</v>
      </c>
      <c r="C2" s="62" t="s">
        <v>169</v>
      </c>
      <c r="D2" s="62" t="s">
        <v>170</v>
      </c>
      <c r="E2" s="64" t="s">
        <v>171</v>
      </c>
    </row>
    <row r="3" ht="21.95" customHeight="1" spans="1:5">
      <c r="A3" s="86" t="s">
        <v>172</v>
      </c>
      <c r="B3" s="71"/>
      <c r="C3" s="71"/>
      <c r="D3" s="71"/>
      <c r="E3" s="71"/>
    </row>
    <row r="4" ht="21.95" customHeight="1" spans="1:5">
      <c r="A4" s="71" t="s">
        <v>173</v>
      </c>
      <c r="B4" s="71">
        <v>13</v>
      </c>
      <c r="C4" s="71">
        <v>0</v>
      </c>
      <c r="D4" s="71">
        <v>465</v>
      </c>
      <c r="E4" s="72">
        <f>(C4*8+D4*4)/12</f>
        <v>155</v>
      </c>
    </row>
    <row r="5" ht="21.95" customHeight="1" spans="1:5">
      <c r="A5" s="71" t="s">
        <v>174</v>
      </c>
      <c r="B5" s="71">
        <f>15+22</f>
        <v>37</v>
      </c>
      <c r="C5" s="71">
        <v>618</v>
      </c>
      <c r="D5" s="71">
        <v>914</v>
      </c>
      <c r="E5" s="72">
        <f>(C5*8+D5*4)/12</f>
        <v>716.666666666667</v>
      </c>
    </row>
    <row r="6" ht="21.95" customHeight="1" spans="1:5">
      <c r="A6" s="71" t="s">
        <v>175</v>
      </c>
      <c r="B6" s="71">
        <f>24+23</f>
        <v>47</v>
      </c>
      <c r="C6" s="71">
        <v>967</v>
      </c>
      <c r="D6" s="71">
        <v>929</v>
      </c>
      <c r="E6" s="72">
        <f t="shared" ref="E6:E14" si="0">(C6*8+D6*4)/12</f>
        <v>954.333333333333</v>
      </c>
    </row>
    <row r="7" ht="21.95" customHeight="1" spans="1:5">
      <c r="A7" s="71" t="s">
        <v>176</v>
      </c>
      <c r="B7" s="71">
        <f>SUM(B4:B6)</f>
        <v>97</v>
      </c>
      <c r="C7" s="71">
        <f>SUM(C4:C6)</f>
        <v>1585</v>
      </c>
      <c r="D7" s="71">
        <f>SUM(D4:D6)</f>
        <v>2308</v>
      </c>
      <c r="E7" s="72">
        <f t="shared" si="0"/>
        <v>1826</v>
      </c>
    </row>
    <row r="8" ht="15.75" spans="1:5">
      <c r="A8" s="87"/>
      <c r="B8" s="87"/>
      <c r="C8" s="87"/>
      <c r="D8" s="87"/>
      <c r="E8" s="72">
        <f t="shared" si="0"/>
        <v>0</v>
      </c>
    </row>
    <row r="9" ht="33" customHeight="1" spans="1:5">
      <c r="A9" s="62" t="s">
        <v>167</v>
      </c>
      <c r="B9" s="62" t="s">
        <v>168</v>
      </c>
      <c r="C9" s="62" t="s">
        <v>169</v>
      </c>
      <c r="D9" s="62" t="s">
        <v>170</v>
      </c>
      <c r="E9" s="72"/>
    </row>
    <row r="10" ht="23.1" customHeight="1" spans="1:5">
      <c r="A10" s="86" t="s">
        <v>177</v>
      </c>
      <c r="B10" s="71"/>
      <c r="C10" s="71"/>
      <c r="D10" s="71"/>
      <c r="E10" s="72">
        <f t="shared" si="0"/>
        <v>0</v>
      </c>
    </row>
    <row r="11" ht="23.1" customHeight="1" spans="1:5">
      <c r="A11" s="71" t="s">
        <v>173</v>
      </c>
      <c r="B11" s="71">
        <v>3</v>
      </c>
      <c r="C11" s="71">
        <v>0</v>
      </c>
      <c r="D11" s="71">
        <v>144</v>
      </c>
      <c r="E11" s="72">
        <f t="shared" si="0"/>
        <v>48</v>
      </c>
    </row>
    <row r="12" ht="23.1" customHeight="1" spans="1:5">
      <c r="A12" s="71" t="s">
        <v>174</v>
      </c>
      <c r="B12" s="71">
        <f>3+10</f>
        <v>13</v>
      </c>
      <c r="C12" s="71">
        <v>156</v>
      </c>
      <c r="D12" s="71">
        <v>428</v>
      </c>
      <c r="E12" s="72">
        <f t="shared" si="0"/>
        <v>246.666666666667</v>
      </c>
    </row>
    <row r="13" ht="23.1" customHeight="1" spans="1:5">
      <c r="A13" s="71" t="s">
        <v>175</v>
      </c>
      <c r="B13" s="71">
        <f>10+17</f>
        <v>27</v>
      </c>
      <c r="C13" s="71">
        <v>443</v>
      </c>
      <c r="D13" s="71">
        <v>764</v>
      </c>
      <c r="E13" s="72">
        <f t="shared" si="0"/>
        <v>550</v>
      </c>
    </row>
    <row r="14" ht="23.1" customHeight="1" spans="1:5">
      <c r="A14" s="71" t="s">
        <v>176</v>
      </c>
      <c r="B14" s="71">
        <f>SUM(B11:B13)</f>
        <v>43</v>
      </c>
      <c r="C14" s="71">
        <f>SUM(C11:C13)</f>
        <v>599</v>
      </c>
      <c r="D14" s="71">
        <f>SUM(D11:D13)</f>
        <v>1336</v>
      </c>
      <c r="E14" s="72">
        <f t="shared" si="0"/>
        <v>844.666666666667</v>
      </c>
    </row>
    <row r="15" ht="15.75" spans="1:5">
      <c r="A15" s="87"/>
      <c r="B15" s="87"/>
      <c r="C15" s="87"/>
      <c r="D15" s="87"/>
      <c r="E15" s="87"/>
    </row>
    <row r="16" ht="35.1" customHeight="1" spans="1:5">
      <c r="A16" s="62"/>
      <c r="B16" s="62" t="s">
        <v>168</v>
      </c>
      <c r="C16" s="62" t="s">
        <v>169</v>
      </c>
      <c r="D16" s="62" t="s">
        <v>170</v>
      </c>
      <c r="E16" s="62" t="s">
        <v>178</v>
      </c>
    </row>
    <row r="17" ht="21.95" customHeight="1" spans="1:5">
      <c r="A17" s="86" t="s">
        <v>179</v>
      </c>
      <c r="B17" s="71"/>
      <c r="C17" s="71"/>
      <c r="D17" s="71"/>
      <c r="E17" s="71"/>
    </row>
    <row r="18" ht="21.95" customHeight="1" spans="1:5">
      <c r="A18" s="71">
        <v>2020</v>
      </c>
      <c r="B18" s="71">
        <v>7</v>
      </c>
      <c r="C18" s="71"/>
      <c r="D18" s="71">
        <v>345</v>
      </c>
      <c r="E18" s="72">
        <f t="shared" ref="E18:E19" si="1">(C18*8+D18*4)/12</f>
        <v>115</v>
      </c>
    </row>
    <row r="19" ht="21.95" customHeight="1" spans="1:5">
      <c r="A19" s="71">
        <v>2021</v>
      </c>
      <c r="B19" s="71"/>
      <c r="C19" s="71">
        <v>331</v>
      </c>
      <c r="D19" s="71">
        <v>928</v>
      </c>
      <c r="E19" s="72">
        <f t="shared" si="1"/>
        <v>530</v>
      </c>
    </row>
    <row r="20" ht="21.95" customHeight="1" spans="1:5">
      <c r="A20" s="71"/>
      <c r="B20" s="71"/>
      <c r="C20" s="71"/>
      <c r="D20" s="71"/>
      <c r="E20" s="71"/>
    </row>
    <row r="21" ht="21.95" customHeight="1" spans="1:5">
      <c r="A21" s="71" t="s">
        <v>176</v>
      </c>
      <c r="B21" s="71">
        <f>SUM(B18:B20)</f>
        <v>7</v>
      </c>
      <c r="C21" s="71">
        <f>SUM(C18:C20)</f>
        <v>331</v>
      </c>
      <c r="D21" s="71">
        <f>SUM(D18:D20)</f>
        <v>1273</v>
      </c>
      <c r="E21" s="72"/>
    </row>
    <row r="22" ht="15.75" spans="1:5">
      <c r="A22" s="87"/>
      <c r="B22" s="87"/>
      <c r="C22" s="87"/>
      <c r="D22" s="87"/>
      <c r="E22" s="87"/>
    </row>
    <row r="23" ht="24" customHeight="1" spans="1:5">
      <c r="A23" s="88" t="s">
        <v>180</v>
      </c>
      <c r="B23" s="72" t="s">
        <v>173</v>
      </c>
      <c r="C23" s="72" t="s">
        <v>174</v>
      </c>
      <c r="D23" s="72" t="s">
        <v>175</v>
      </c>
      <c r="E23" s="72"/>
    </row>
    <row r="24" ht="27" customHeight="1" spans="1:5">
      <c r="A24" s="56" t="s">
        <v>180</v>
      </c>
      <c r="B24" s="56">
        <f>E4*0.56+E11*0.8</f>
        <v>125.2</v>
      </c>
      <c r="C24" s="56">
        <f>E5*0.56+E12*0.8</f>
        <v>598.666666666667</v>
      </c>
      <c r="D24" s="56">
        <f>E6*0.56+E13*0.8</f>
        <v>974.426666666667</v>
      </c>
      <c r="E24" s="52" t="s">
        <v>181</v>
      </c>
    </row>
    <row r="25" ht="26.25" customHeight="1" spans="1:5">
      <c r="A25" s="52" t="s">
        <v>182</v>
      </c>
      <c r="B25" s="89">
        <f>E4+E11</f>
        <v>203</v>
      </c>
      <c r="C25" s="89">
        <f>E5+E12</f>
        <v>963.333333333333</v>
      </c>
      <c r="D25" s="89">
        <f>E6+E13</f>
        <v>1504.33333333333</v>
      </c>
      <c r="E25" s="56"/>
    </row>
    <row r="26" ht="24" customHeight="1" spans="1:5">
      <c r="A26" s="52" t="s">
        <v>183</v>
      </c>
      <c r="B26" s="56">
        <f>B24</f>
        <v>125.2</v>
      </c>
      <c r="C26" s="89">
        <f>C24+E18</f>
        <v>713.666666666667</v>
      </c>
      <c r="D26" s="89">
        <f>D24+E19</f>
        <v>1504.42666666667</v>
      </c>
      <c r="E26" s="56"/>
    </row>
    <row r="27" ht="22.5" customHeight="1" spans="1:5">
      <c r="A27" s="90" t="s">
        <v>184</v>
      </c>
      <c r="B27" s="89">
        <f>B25</f>
        <v>203</v>
      </c>
      <c r="C27" s="89">
        <f>C25+E18</f>
        <v>1078.33333333333</v>
      </c>
      <c r="D27" s="89">
        <f>E19+D25</f>
        <v>2034.33333333333</v>
      </c>
      <c r="E27" s="56"/>
    </row>
  </sheetData>
  <mergeCells count="1">
    <mergeCell ref="A1:E1"/>
  </mergeCells>
  <printOptions horizontalCentered="1"/>
  <pageMargins left="0.700694444444445" right="0.700694444444445" top="0.751388888888889" bottom="0.751388888888889" header="0.298611111111111" footer="0.298611111111111"/>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topLeftCell="A21" workbookViewId="0">
      <selection activeCell="J35" sqref="J35"/>
    </sheetView>
  </sheetViews>
  <sheetFormatPr defaultColWidth="9" defaultRowHeight="13.5"/>
  <cols>
    <col min="1" max="1" width="23.625" customWidth="1"/>
    <col min="2" max="2" width="10.25" customWidth="1"/>
    <col min="3" max="3" width="9.625" customWidth="1"/>
    <col min="9" max="9" width="20" customWidth="1"/>
    <col min="10" max="10" width="14.75" customWidth="1"/>
    <col min="11" max="11" width="15" customWidth="1"/>
    <col min="12" max="12" width="15.625" customWidth="1"/>
    <col min="13" max="13" width="13.625" customWidth="1"/>
  </cols>
  <sheetData>
    <row r="1" ht="25.5" spans="1:13">
      <c r="A1" s="61" t="s">
        <v>185</v>
      </c>
      <c r="B1" s="61"/>
      <c r="C1" s="61"/>
      <c r="D1" s="61"/>
      <c r="E1" s="61"/>
      <c r="F1" s="61"/>
      <c r="G1" s="61"/>
      <c r="H1" s="56"/>
      <c r="I1" s="84" t="s">
        <v>186</v>
      </c>
      <c r="J1" s="85"/>
      <c r="K1" s="85"/>
      <c r="L1" s="85"/>
      <c r="M1" s="85"/>
    </row>
    <row r="2" ht="28.5" spans="1:13">
      <c r="A2" s="62" t="s">
        <v>187</v>
      </c>
      <c r="B2" s="63" t="s">
        <v>188</v>
      </c>
      <c r="C2" s="63" t="s">
        <v>189</v>
      </c>
      <c r="D2" s="64" t="s">
        <v>190</v>
      </c>
      <c r="E2" s="64" t="s">
        <v>191</v>
      </c>
      <c r="F2" s="64" t="s">
        <v>171</v>
      </c>
      <c r="G2" s="65" t="s">
        <v>192</v>
      </c>
      <c r="H2" s="56"/>
      <c r="I2" s="64" t="s">
        <v>193</v>
      </c>
      <c r="J2" s="64" t="s">
        <v>194</v>
      </c>
      <c r="K2" s="64" t="s">
        <v>195</v>
      </c>
      <c r="L2" s="64" t="s">
        <v>196</v>
      </c>
      <c r="M2" s="64"/>
    </row>
    <row r="3" ht="15.75" spans="1:13">
      <c r="A3" s="66" t="s">
        <v>197</v>
      </c>
      <c r="B3" s="62"/>
      <c r="C3" s="62"/>
      <c r="D3" s="67">
        <f t="shared" ref="D3:E3" si="0">D6+D7+D10+D14+D15+D16+D17+D9+D8</f>
        <v>17</v>
      </c>
      <c r="E3" s="67">
        <f t="shared" si="0"/>
        <v>13.7805297557619</v>
      </c>
      <c r="F3" s="67">
        <f t="shared" ref="F3:G3" si="1">F6+F7+F10+F14+F15+F16+F17+F9+F8</f>
        <v>14</v>
      </c>
      <c r="G3" s="68">
        <f t="shared" si="1"/>
        <v>52</v>
      </c>
      <c r="H3" s="69" t="s">
        <v>58</v>
      </c>
      <c r="I3" s="56">
        <v>81700</v>
      </c>
      <c r="J3" s="56">
        <v>14</v>
      </c>
      <c r="K3" s="56">
        <f>I3*J3</f>
        <v>1143800</v>
      </c>
      <c r="L3" s="56">
        <f>K3*1.2</f>
        <v>1372560</v>
      </c>
      <c r="M3" s="56"/>
    </row>
    <row r="4" ht="15.75" spans="1:13">
      <c r="A4" s="70" t="s">
        <v>198</v>
      </c>
      <c r="B4" s="71"/>
      <c r="C4" s="71"/>
      <c r="D4" s="72"/>
      <c r="E4" s="73"/>
      <c r="F4" s="74"/>
      <c r="G4" s="75"/>
      <c r="H4" s="69" t="s">
        <v>59</v>
      </c>
      <c r="I4" s="56">
        <v>84000</v>
      </c>
      <c r="J4" s="56">
        <v>66</v>
      </c>
      <c r="K4" s="56">
        <f>I4*J4</f>
        <v>5544000</v>
      </c>
      <c r="L4" s="56">
        <f>K4*1.2</f>
        <v>6652800</v>
      </c>
      <c r="M4" s="56"/>
    </row>
    <row r="5" ht="15.75" spans="1:13">
      <c r="A5" s="76" t="s">
        <v>35</v>
      </c>
      <c r="B5" s="71"/>
      <c r="C5" s="71"/>
      <c r="D5" s="72"/>
      <c r="E5" s="72"/>
      <c r="F5" s="73"/>
      <c r="G5" s="75"/>
      <c r="H5" s="69" t="s">
        <v>60</v>
      </c>
      <c r="I5" s="56">
        <v>86300</v>
      </c>
      <c r="J5" s="56">
        <v>107</v>
      </c>
      <c r="K5" s="56">
        <f>I5*J5</f>
        <v>9234100</v>
      </c>
      <c r="L5" s="56">
        <f>K5*1.2</f>
        <v>11080920</v>
      </c>
      <c r="M5" s="56"/>
    </row>
    <row r="6" ht="15.75" spans="1:7">
      <c r="A6" s="77" t="s">
        <v>199</v>
      </c>
      <c r="B6" s="71"/>
      <c r="C6" s="71">
        <v>30</v>
      </c>
      <c r="D6" s="71">
        <f>(B6*8+C6*4)/12</f>
        <v>10</v>
      </c>
      <c r="E6" s="72">
        <v>8.1578947368421</v>
      </c>
      <c r="F6" s="74">
        <v>8</v>
      </c>
      <c r="G6" s="74">
        <v>2</v>
      </c>
    </row>
    <row r="7" ht="15.75" spans="1:7">
      <c r="A7" s="77" t="s">
        <v>200</v>
      </c>
      <c r="B7" s="71"/>
      <c r="C7" s="71">
        <v>12</v>
      </c>
      <c r="D7" s="71">
        <f>(B7*8+C7*4)/12</f>
        <v>4</v>
      </c>
      <c r="E7" s="72">
        <f>48/13.5</f>
        <v>3.55555555555556</v>
      </c>
      <c r="F7" s="74">
        <v>4</v>
      </c>
      <c r="G7" s="74">
        <v>0</v>
      </c>
    </row>
    <row r="8" ht="15.75" spans="1:7">
      <c r="A8" s="77" t="s">
        <v>201</v>
      </c>
      <c r="B8" s="71"/>
      <c r="C8" s="71"/>
      <c r="D8" s="71"/>
      <c r="E8" s="72"/>
      <c r="F8" s="74"/>
      <c r="G8" s="74"/>
    </row>
    <row r="9" ht="15.75" spans="1:7">
      <c r="A9" s="78" t="s">
        <v>39</v>
      </c>
      <c r="B9" s="71"/>
      <c r="C9" s="71"/>
      <c r="D9" s="71"/>
      <c r="E9" s="72"/>
      <c r="F9" s="74"/>
      <c r="G9" s="79"/>
    </row>
    <row r="10" ht="15.75" spans="1:7">
      <c r="A10" s="76" t="s">
        <v>40</v>
      </c>
      <c r="B10" s="71"/>
      <c r="C10" s="71">
        <v>3</v>
      </c>
      <c r="D10" s="71">
        <v>3</v>
      </c>
      <c r="E10" s="73">
        <f>(E6+E7)/85*15</f>
        <v>2.06707946336429</v>
      </c>
      <c r="F10" s="74">
        <v>2</v>
      </c>
      <c r="G10" s="79">
        <v>50</v>
      </c>
    </row>
    <row r="11" ht="15.75" spans="1:7">
      <c r="A11" s="76" t="s">
        <v>41</v>
      </c>
      <c r="B11" s="71"/>
      <c r="C11" s="71">
        <v>2</v>
      </c>
      <c r="D11" s="71">
        <v>2</v>
      </c>
      <c r="E11" s="73"/>
      <c r="F11" s="74"/>
      <c r="G11" s="80"/>
    </row>
    <row r="12" ht="15.75" spans="1:7">
      <c r="A12" s="76" t="s">
        <v>42</v>
      </c>
      <c r="B12" s="71"/>
      <c r="C12" s="71">
        <v>42</v>
      </c>
      <c r="D12" s="71">
        <v>42</v>
      </c>
      <c r="E12" s="73"/>
      <c r="F12" s="74"/>
      <c r="G12" s="81"/>
    </row>
    <row r="13" ht="15.75" spans="1:7">
      <c r="A13" s="82" t="s">
        <v>43</v>
      </c>
      <c r="B13" s="71"/>
      <c r="C13" s="71">
        <v>13</v>
      </c>
      <c r="D13" s="71"/>
      <c r="E13" s="83"/>
      <c r="F13" s="83"/>
      <c r="G13" s="83"/>
    </row>
    <row r="14" ht="15.75" spans="1:7">
      <c r="A14" s="82" t="s">
        <v>44</v>
      </c>
      <c r="B14" s="71"/>
      <c r="C14" s="71"/>
      <c r="D14" s="71"/>
      <c r="E14" s="83"/>
      <c r="F14" s="83"/>
      <c r="G14" s="83"/>
    </row>
    <row r="15" ht="15.75" spans="1:7">
      <c r="A15" s="82" t="s">
        <v>45</v>
      </c>
      <c r="B15" s="71"/>
      <c r="C15" s="71"/>
      <c r="D15" s="71"/>
      <c r="E15" s="83"/>
      <c r="F15" s="83"/>
      <c r="G15" s="83"/>
    </row>
    <row r="16" ht="15.75" spans="1:7">
      <c r="A16" s="82" t="s">
        <v>46</v>
      </c>
      <c r="B16" s="71"/>
      <c r="C16" s="71">
        <v>13</v>
      </c>
      <c r="D16" s="71"/>
      <c r="E16" s="83"/>
      <c r="F16" s="83"/>
      <c r="G16" s="83"/>
    </row>
    <row r="17" ht="15.75" spans="1:7">
      <c r="A17" s="82" t="s">
        <v>47</v>
      </c>
      <c r="B17" s="71"/>
      <c r="C17" s="71"/>
      <c r="D17" s="71"/>
      <c r="E17" s="83"/>
      <c r="F17" s="83"/>
      <c r="G17" s="83"/>
    </row>
    <row r="18" ht="28.5" spans="1:7">
      <c r="A18" s="62" t="s">
        <v>187</v>
      </c>
      <c r="B18" s="63" t="s">
        <v>202</v>
      </c>
      <c r="C18" s="63" t="s">
        <v>203</v>
      </c>
      <c r="D18" s="64" t="s">
        <v>190</v>
      </c>
      <c r="E18" s="64" t="s">
        <v>191</v>
      </c>
      <c r="F18" s="64" t="s">
        <v>171</v>
      </c>
      <c r="G18" s="64" t="s">
        <v>192</v>
      </c>
    </row>
    <row r="19" ht="15.75" spans="1:7">
      <c r="A19" s="66" t="s">
        <v>197</v>
      </c>
      <c r="B19" s="62"/>
      <c r="C19" s="62"/>
      <c r="D19" s="67">
        <f>DC23+D26+D30+D31+D32+D33+D25+D24</f>
        <v>4</v>
      </c>
      <c r="E19" s="67">
        <f>E22+E23+E26+E30+E31+E32+E33+E25+E24</f>
        <v>65.9213392959523</v>
      </c>
      <c r="F19" s="67">
        <f t="shared" ref="F19:G19" si="2">F22+F23+F26+F30+F31+F32+F33+F25+F24</f>
        <v>66</v>
      </c>
      <c r="G19" s="67">
        <f t="shared" si="2"/>
        <v>3</v>
      </c>
    </row>
    <row r="20" ht="15.75" spans="1:7">
      <c r="A20" s="70" t="s">
        <v>198</v>
      </c>
      <c r="B20" s="71"/>
      <c r="C20" s="71"/>
      <c r="D20" s="72"/>
      <c r="E20" s="73"/>
      <c r="F20" s="74"/>
      <c r="G20" s="74"/>
    </row>
    <row r="21" ht="15.75" spans="1:7">
      <c r="A21" s="76" t="s">
        <v>35</v>
      </c>
      <c r="B21" s="71"/>
      <c r="C21" s="71"/>
      <c r="D21" s="72"/>
      <c r="E21" s="72"/>
      <c r="F21" s="73"/>
      <c r="G21" s="74"/>
    </row>
    <row r="22" ht="15.75" spans="1:7">
      <c r="A22" s="77" t="s">
        <v>199</v>
      </c>
      <c r="B22" s="71">
        <v>30</v>
      </c>
      <c r="C22" s="71">
        <v>54</v>
      </c>
      <c r="D22" s="71">
        <f>(B22*8+C22*4)/12</f>
        <v>38</v>
      </c>
      <c r="E22" s="72">
        <f>717/19</f>
        <v>37.7368421052632</v>
      </c>
      <c r="F22" s="74">
        <v>38</v>
      </c>
      <c r="G22" s="74">
        <v>0</v>
      </c>
    </row>
    <row r="23" ht="15.75" spans="1:7">
      <c r="A23" s="77" t="s">
        <v>200</v>
      </c>
      <c r="B23" s="71">
        <v>12</v>
      </c>
      <c r="C23" s="71">
        <v>36</v>
      </c>
      <c r="D23" s="71">
        <f>(B23*8+C23*4)/12</f>
        <v>20</v>
      </c>
      <c r="E23" s="72">
        <f>247/13.5</f>
        <v>18.2962962962963</v>
      </c>
      <c r="F23" s="74">
        <v>18</v>
      </c>
      <c r="G23" s="74">
        <v>2</v>
      </c>
    </row>
    <row r="24" ht="15.75" spans="1:7">
      <c r="A24" s="77" t="s">
        <v>201</v>
      </c>
      <c r="B24" s="71"/>
      <c r="C24" s="71"/>
      <c r="D24" s="71"/>
      <c r="E24" s="72"/>
      <c r="F24" s="74"/>
      <c r="G24" s="74"/>
    </row>
    <row r="25" ht="15.75" spans="1:7">
      <c r="A25" s="78" t="s">
        <v>39</v>
      </c>
      <c r="B25" s="71"/>
      <c r="C25" s="71"/>
      <c r="D25" s="71"/>
      <c r="E25" s="72"/>
      <c r="F25" s="74"/>
      <c r="G25" s="79"/>
    </row>
    <row r="26" ht="15.75" spans="1:7">
      <c r="A26" s="76" t="s">
        <v>40</v>
      </c>
      <c r="B26" s="71">
        <v>3</v>
      </c>
      <c r="C26" s="71">
        <v>4</v>
      </c>
      <c r="D26" s="71">
        <v>4</v>
      </c>
      <c r="E26" s="73">
        <f>(E22+E23)/85*15</f>
        <v>9.88820089439285</v>
      </c>
      <c r="F26" s="74">
        <v>10</v>
      </c>
      <c r="G26" s="79">
        <v>1</v>
      </c>
    </row>
    <row r="27" ht="15.75" spans="1:7">
      <c r="A27" s="76" t="s">
        <v>41</v>
      </c>
      <c r="B27" s="71">
        <v>2</v>
      </c>
      <c r="C27" s="71">
        <v>3</v>
      </c>
      <c r="D27" s="71">
        <v>3</v>
      </c>
      <c r="E27" s="73"/>
      <c r="F27" s="74"/>
      <c r="G27" s="80"/>
    </row>
    <row r="28" ht="15.75" spans="1:7">
      <c r="A28" s="76" t="s">
        <v>42</v>
      </c>
      <c r="B28" s="71">
        <v>42</v>
      </c>
      <c r="C28" s="71">
        <v>4</v>
      </c>
      <c r="D28" s="71">
        <v>4</v>
      </c>
      <c r="E28" s="73"/>
      <c r="F28" s="74"/>
      <c r="G28" s="81"/>
    </row>
    <row r="29" ht="15.75" spans="1:7">
      <c r="A29" s="82" t="s">
        <v>43</v>
      </c>
      <c r="B29" s="71">
        <v>13</v>
      </c>
      <c r="C29" s="71">
        <v>106</v>
      </c>
      <c r="D29" s="71"/>
      <c r="E29" s="83"/>
      <c r="F29" s="83"/>
      <c r="G29" s="83"/>
    </row>
    <row r="30" ht="15.75" spans="1:7">
      <c r="A30" s="82" t="s">
        <v>44</v>
      </c>
      <c r="B30" s="71"/>
      <c r="C30" s="71"/>
      <c r="D30" s="71"/>
      <c r="E30" s="83"/>
      <c r="F30" s="83"/>
      <c r="G30" s="83"/>
    </row>
    <row r="31" ht="15.75" spans="1:7">
      <c r="A31" s="82" t="s">
        <v>45</v>
      </c>
      <c r="B31" s="71"/>
      <c r="C31" s="71"/>
      <c r="D31" s="71"/>
      <c r="E31" s="83"/>
      <c r="F31" s="83"/>
      <c r="G31" s="83"/>
    </row>
    <row r="32" ht="15.75" spans="1:7">
      <c r="A32" s="82" t="s">
        <v>46</v>
      </c>
      <c r="B32" s="71">
        <v>13</v>
      </c>
      <c r="C32" s="71">
        <v>106</v>
      </c>
      <c r="D32" s="71"/>
      <c r="E32" s="83"/>
      <c r="F32" s="83"/>
      <c r="G32" s="83"/>
    </row>
    <row r="33" ht="15.75" spans="1:7">
      <c r="A33" s="82" t="s">
        <v>47</v>
      </c>
      <c r="B33" s="71"/>
      <c r="C33" s="71"/>
      <c r="D33" s="71"/>
      <c r="E33" s="83"/>
      <c r="F33" s="83"/>
      <c r="G33" s="83"/>
    </row>
    <row r="34" ht="28.5" spans="1:7">
      <c r="A34" s="62" t="s">
        <v>187</v>
      </c>
      <c r="B34" s="63" t="s">
        <v>204</v>
      </c>
      <c r="C34" s="63" t="s">
        <v>205</v>
      </c>
      <c r="D34" s="64" t="s">
        <v>190</v>
      </c>
      <c r="E34" s="64" t="s">
        <v>191</v>
      </c>
      <c r="F34" s="64" t="s">
        <v>171</v>
      </c>
      <c r="G34" s="64" t="s">
        <v>192</v>
      </c>
    </row>
    <row r="35" ht="15.75" spans="1:7">
      <c r="A35" s="66" t="s">
        <v>197</v>
      </c>
      <c r="B35" s="62"/>
      <c r="C35" s="62"/>
      <c r="D35" s="62"/>
      <c r="E35" s="67">
        <f>E38+E39+E42+E46+E47+E48+E49+E41+E40</f>
        <v>107.058823529412</v>
      </c>
      <c r="F35" s="67">
        <f t="shared" ref="F35:G35" si="3">F38+F39+F42+F46+F47+F48+F49+F41+F40</f>
        <v>107</v>
      </c>
      <c r="G35" s="67">
        <f t="shared" si="3"/>
        <v>7</v>
      </c>
    </row>
    <row r="36" ht="15.75" spans="1:7">
      <c r="A36" s="70" t="s">
        <v>198</v>
      </c>
      <c r="B36" s="71"/>
      <c r="C36" s="71"/>
      <c r="D36" s="72"/>
      <c r="E36" s="73"/>
      <c r="F36" s="74"/>
      <c r="G36" s="74"/>
    </row>
    <row r="37" ht="15.75" spans="1:7">
      <c r="A37" s="76" t="s">
        <v>35</v>
      </c>
      <c r="B37" s="71"/>
      <c r="C37" s="71"/>
      <c r="D37" s="72"/>
      <c r="E37" s="72"/>
      <c r="F37" s="73"/>
      <c r="G37" s="74"/>
    </row>
    <row r="38" ht="15.75" spans="1:7">
      <c r="A38" s="77" t="s">
        <v>199</v>
      </c>
      <c r="B38" s="71">
        <v>54</v>
      </c>
      <c r="C38" s="71">
        <v>60</v>
      </c>
      <c r="D38" s="71">
        <f>(B38*8+C38*4)/12</f>
        <v>56</v>
      </c>
      <c r="E38" s="72">
        <v>50</v>
      </c>
      <c r="F38" s="74">
        <v>50</v>
      </c>
      <c r="G38" s="74">
        <v>6</v>
      </c>
    </row>
    <row r="39" ht="15.75" spans="1:7">
      <c r="A39" s="77" t="s">
        <v>200</v>
      </c>
      <c r="B39" s="71">
        <v>36</v>
      </c>
      <c r="C39" s="71">
        <v>55</v>
      </c>
      <c r="D39" s="72">
        <f>(B39*8+C39*4)/12</f>
        <v>42.3333333333333</v>
      </c>
      <c r="E39" s="72">
        <v>41</v>
      </c>
      <c r="F39" s="74">
        <v>41</v>
      </c>
      <c r="G39" s="74">
        <v>1</v>
      </c>
    </row>
    <row r="40" ht="15.75" spans="1:7">
      <c r="A40" s="77" t="s">
        <v>201</v>
      </c>
      <c r="B40" s="71"/>
      <c r="C40" s="71"/>
      <c r="D40" s="71"/>
      <c r="E40" s="72"/>
      <c r="F40" s="74"/>
      <c r="G40" s="74"/>
    </row>
    <row r="41" ht="15.75" spans="1:7">
      <c r="A41" s="78" t="s">
        <v>39</v>
      </c>
      <c r="B41" s="71"/>
      <c r="C41" s="71"/>
      <c r="D41" s="71"/>
      <c r="E41" s="72"/>
      <c r="F41" s="74"/>
      <c r="G41" s="79"/>
    </row>
    <row r="42" ht="15.75" spans="1:7">
      <c r="A42" s="76" t="s">
        <v>40</v>
      </c>
      <c r="B42" s="71">
        <v>4</v>
      </c>
      <c r="C42" s="71">
        <v>4</v>
      </c>
      <c r="D42" s="71">
        <v>9</v>
      </c>
      <c r="E42" s="73">
        <f>(E38+E39)/85*15</f>
        <v>16.0588235294118</v>
      </c>
      <c r="F42" s="74">
        <v>16</v>
      </c>
      <c r="G42" s="79">
        <v>0</v>
      </c>
    </row>
    <row r="43" ht="15.75" spans="1:7">
      <c r="A43" s="76" t="s">
        <v>41</v>
      </c>
      <c r="B43" s="71">
        <v>3</v>
      </c>
      <c r="C43" s="71">
        <v>3</v>
      </c>
      <c r="D43" s="71">
        <v>3</v>
      </c>
      <c r="E43" s="73"/>
      <c r="F43" s="74"/>
      <c r="G43" s="80"/>
    </row>
    <row r="44" ht="15.75" spans="1:7">
      <c r="A44" s="76" t="s">
        <v>42</v>
      </c>
      <c r="B44" s="71">
        <v>4</v>
      </c>
      <c r="C44" s="71">
        <v>4</v>
      </c>
      <c r="D44" s="71">
        <v>4</v>
      </c>
      <c r="E44" s="73"/>
      <c r="F44" s="74"/>
      <c r="G44" s="81"/>
    </row>
    <row r="45" ht="15.75" spans="1:7">
      <c r="A45" s="82" t="s">
        <v>43</v>
      </c>
      <c r="B45" s="71">
        <v>106</v>
      </c>
      <c r="C45" s="71">
        <v>106</v>
      </c>
      <c r="D45" s="71"/>
      <c r="E45" s="83"/>
      <c r="F45" s="83"/>
      <c r="G45" s="83"/>
    </row>
    <row r="46" ht="15.75" spans="1:7">
      <c r="A46" s="82" t="s">
        <v>44</v>
      </c>
      <c r="B46" s="71"/>
      <c r="C46" s="71"/>
      <c r="D46" s="71"/>
      <c r="E46" s="83"/>
      <c r="F46" s="83"/>
      <c r="G46" s="83"/>
    </row>
    <row r="47" ht="15.75" spans="1:7">
      <c r="A47" s="82" t="s">
        <v>45</v>
      </c>
      <c r="B47" s="71"/>
      <c r="C47" s="71"/>
      <c r="D47" s="71"/>
      <c r="E47" s="83"/>
      <c r="F47" s="83"/>
      <c r="G47" s="83"/>
    </row>
    <row r="48" ht="15.75" spans="1:7">
      <c r="A48" s="82" t="s">
        <v>46</v>
      </c>
      <c r="B48" s="71">
        <v>106</v>
      </c>
      <c r="C48" s="71">
        <v>106</v>
      </c>
      <c r="D48" s="71"/>
      <c r="E48" s="83"/>
      <c r="F48" s="83"/>
      <c r="G48" s="83"/>
    </row>
    <row r="49" ht="15.75" spans="1:7">
      <c r="A49" s="82" t="s">
        <v>47</v>
      </c>
      <c r="B49" s="71"/>
      <c r="C49" s="71"/>
      <c r="D49" s="71"/>
      <c r="E49" s="83"/>
      <c r="F49" s="83"/>
      <c r="G49" s="83"/>
    </row>
  </sheetData>
  <mergeCells count="11">
    <mergeCell ref="A1:G1"/>
    <mergeCell ref="I1:M1"/>
    <mergeCell ref="E10:E12"/>
    <mergeCell ref="E26:E28"/>
    <mergeCell ref="E42:E44"/>
    <mergeCell ref="F10:F12"/>
    <mergeCell ref="F26:F28"/>
    <mergeCell ref="F42:F44"/>
    <mergeCell ref="G10:G12"/>
    <mergeCell ref="G26:G28"/>
    <mergeCell ref="G42:G44"/>
  </mergeCells>
  <pageMargins left="0.7" right="0.7" top="0.75" bottom="0.75"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5"/>
  <sheetViews>
    <sheetView workbookViewId="0">
      <selection activeCell="D28" sqref="D28"/>
    </sheetView>
  </sheetViews>
  <sheetFormatPr defaultColWidth="9" defaultRowHeight="13.5" outlineLevelCol="4"/>
  <cols>
    <col min="1" max="1" width="19.375" customWidth="1"/>
    <col min="2" max="2" width="17.25" customWidth="1"/>
    <col min="3" max="3" width="16.875" customWidth="1"/>
    <col min="4" max="4" width="16.375" customWidth="1"/>
    <col min="5" max="5" width="18" customWidth="1"/>
  </cols>
  <sheetData>
    <row r="1" ht="25.5" spans="1:5">
      <c r="A1" s="44" t="s">
        <v>206</v>
      </c>
      <c r="B1" s="44"/>
      <c r="C1" s="44"/>
      <c r="D1" s="44"/>
      <c r="E1" s="45"/>
    </row>
    <row r="3" ht="15.75" spans="1:5">
      <c r="A3" s="46" t="s">
        <v>187</v>
      </c>
      <c r="B3" s="47" t="s">
        <v>207</v>
      </c>
      <c r="C3" s="47" t="s">
        <v>208</v>
      </c>
      <c r="D3" s="48" t="s">
        <v>209</v>
      </c>
      <c r="E3" s="49" t="s">
        <v>210</v>
      </c>
    </row>
    <row r="4" ht="15.75" spans="1:5">
      <c r="A4" s="50" t="s">
        <v>211</v>
      </c>
      <c r="B4" s="51">
        <f>教育成本归集表!B6</f>
        <v>4864961.46</v>
      </c>
      <c r="C4" s="51">
        <f t="shared" ref="C4:C11" si="0">B4-D4</f>
        <v>3492401.46</v>
      </c>
      <c r="D4" s="51">
        <f>1372560</f>
        <v>1372560</v>
      </c>
      <c r="E4" s="52" t="s">
        <v>212</v>
      </c>
    </row>
    <row r="5" ht="15.75" spans="1:5">
      <c r="A5" s="50" t="s">
        <v>213</v>
      </c>
      <c r="B5" s="51">
        <f>教育成本归集表!B32</f>
        <v>351536.94</v>
      </c>
      <c r="C5" s="51">
        <f t="shared" si="0"/>
        <v>159378.54</v>
      </c>
      <c r="D5" s="51">
        <v>192158.4</v>
      </c>
      <c r="E5" s="53" t="s">
        <v>214</v>
      </c>
    </row>
    <row r="6" ht="15.75" spans="1:5">
      <c r="A6" s="54" t="s">
        <v>215</v>
      </c>
      <c r="B6" s="51">
        <f>教育成本归集表!B9</f>
        <v>78490.66</v>
      </c>
      <c r="C6" s="51">
        <f t="shared" si="0"/>
        <v>0</v>
      </c>
      <c r="D6" s="51">
        <v>78490.66</v>
      </c>
      <c r="E6" s="55"/>
    </row>
    <row r="7" ht="15.75" spans="1:5">
      <c r="A7" s="50" t="s">
        <v>216</v>
      </c>
      <c r="B7" s="51"/>
      <c r="C7" s="51">
        <f t="shared" si="0"/>
        <v>0</v>
      </c>
      <c r="D7" s="51"/>
      <c r="E7" s="56"/>
    </row>
    <row r="8" ht="15.75" spans="1:5">
      <c r="A8" s="54" t="s">
        <v>217</v>
      </c>
      <c r="B8" s="51"/>
      <c r="C8" s="51">
        <f t="shared" si="0"/>
        <v>0</v>
      </c>
      <c r="D8" s="51"/>
      <c r="E8" s="56"/>
    </row>
    <row r="9" ht="15.75" spans="1:5">
      <c r="A9" s="50" t="s">
        <v>218</v>
      </c>
      <c r="B9" s="51">
        <f>教育成本归集表!B10</f>
        <v>8940</v>
      </c>
      <c r="C9" s="51">
        <f t="shared" si="0"/>
        <v>-59688</v>
      </c>
      <c r="D9" s="51">
        <v>68628</v>
      </c>
      <c r="E9" s="53" t="s">
        <v>219</v>
      </c>
    </row>
    <row r="10" ht="15.75" spans="1:5">
      <c r="A10" s="50" t="s">
        <v>220</v>
      </c>
      <c r="B10" s="51">
        <f>教育成本归集表!B31</f>
        <v>0</v>
      </c>
      <c r="C10" s="51">
        <f t="shared" si="0"/>
        <v>-27451.2</v>
      </c>
      <c r="D10" s="51">
        <v>27451.2</v>
      </c>
      <c r="E10" s="57">
        <v>0.02</v>
      </c>
    </row>
    <row r="11" ht="15.75" spans="1:5">
      <c r="A11" s="50" t="s">
        <v>221</v>
      </c>
      <c r="B11" s="51">
        <f>教育成本归集表!B26</f>
        <v>31790.31</v>
      </c>
      <c r="C11" s="51">
        <f t="shared" si="0"/>
        <v>-2523.69</v>
      </c>
      <c r="D11" s="51">
        <v>34314</v>
      </c>
      <c r="E11" s="55">
        <v>0.025</v>
      </c>
    </row>
    <row r="12" spans="1:5">
      <c r="A12" s="52" t="s">
        <v>222</v>
      </c>
      <c r="B12" s="58">
        <f>B4+B5+B6+B8+B9+B10+B11</f>
        <v>5335719.37</v>
      </c>
      <c r="C12" s="58">
        <f t="shared" ref="C12:D12" si="1">C4+C5+C6+C8+C9+C10+C11</f>
        <v>3562117.11</v>
      </c>
      <c r="D12" s="58">
        <f t="shared" si="1"/>
        <v>1773602.26</v>
      </c>
      <c r="E12" s="56"/>
    </row>
    <row r="13" ht="14.25" spans="1:2">
      <c r="A13" s="59" t="s">
        <v>223</v>
      </c>
      <c r="B13" s="60">
        <f>D4+D5+D6++D7+D8+D9+D10+D11</f>
        <v>1773602.26</v>
      </c>
    </row>
    <row r="14" ht="15.75" spans="1:5">
      <c r="A14" s="46" t="s">
        <v>187</v>
      </c>
      <c r="B14" s="47" t="s">
        <v>224</v>
      </c>
      <c r="C14" s="47" t="s">
        <v>225</v>
      </c>
      <c r="D14" s="48" t="s">
        <v>226</v>
      </c>
      <c r="E14" s="49" t="s">
        <v>210</v>
      </c>
    </row>
    <row r="15" ht="15.75" spans="1:5">
      <c r="A15" s="50" t="s">
        <v>211</v>
      </c>
      <c r="B15" s="51">
        <f>教育成本归集表!E6</f>
        <v>10577360.48</v>
      </c>
      <c r="C15" s="51">
        <f t="shared" ref="C15:C22" si="2">B15-D15</f>
        <v>3924560.48</v>
      </c>
      <c r="D15" s="51">
        <v>6652800</v>
      </c>
      <c r="E15" s="52" t="s">
        <v>212</v>
      </c>
    </row>
    <row r="16" ht="15.75" spans="1:5">
      <c r="A16" s="50" t="s">
        <v>213</v>
      </c>
      <c r="B16" s="51">
        <f>教育成本归集表!E32</f>
        <v>875978.3</v>
      </c>
      <c r="C16" s="51">
        <f t="shared" si="2"/>
        <v>0</v>
      </c>
      <c r="D16" s="51">
        <v>875978.3</v>
      </c>
      <c r="E16" s="53" t="s">
        <v>214</v>
      </c>
    </row>
    <row r="17" ht="15.75" spans="1:5">
      <c r="A17" s="54" t="s">
        <v>215</v>
      </c>
      <c r="B17" s="51">
        <f>教育成本归集表!E9</f>
        <v>429931.76</v>
      </c>
      <c r="C17" s="51">
        <f t="shared" si="2"/>
        <v>0</v>
      </c>
      <c r="D17" s="51">
        <v>429931.76</v>
      </c>
      <c r="E17" s="55"/>
    </row>
    <row r="18" ht="15.75" spans="1:5">
      <c r="A18" s="50" t="s">
        <v>216</v>
      </c>
      <c r="B18" s="51"/>
      <c r="C18" s="51">
        <f t="shared" si="2"/>
        <v>0</v>
      </c>
      <c r="D18" s="51"/>
      <c r="E18" s="56"/>
    </row>
    <row r="19" ht="15.75" spans="1:5">
      <c r="A19" s="54" t="s">
        <v>217</v>
      </c>
      <c r="B19" s="51"/>
      <c r="C19" s="51">
        <f t="shared" si="2"/>
        <v>0</v>
      </c>
      <c r="D19" s="51"/>
      <c r="E19" s="56"/>
    </row>
    <row r="20" ht="15.75" spans="1:5">
      <c r="A20" s="50" t="s">
        <v>218</v>
      </c>
      <c r="B20" s="51">
        <f>教育成本归集表!E10</f>
        <v>138408</v>
      </c>
      <c r="C20" s="51">
        <f t="shared" si="2"/>
        <v>-194232</v>
      </c>
      <c r="D20" s="51">
        <v>332640</v>
      </c>
      <c r="E20" s="57" t="s">
        <v>219</v>
      </c>
    </row>
    <row r="21" ht="15.75" spans="1:5">
      <c r="A21" s="50" t="s">
        <v>220</v>
      </c>
      <c r="B21" s="51">
        <f>教育成本归集表!E31</f>
        <v>55142.37</v>
      </c>
      <c r="C21" s="51">
        <f t="shared" si="2"/>
        <v>-77913.63</v>
      </c>
      <c r="D21" s="51">
        <f>D15*0.02</f>
        <v>133056</v>
      </c>
      <c r="E21" s="57">
        <v>0.02</v>
      </c>
    </row>
    <row r="22" ht="15.75" spans="1:5">
      <c r="A22" s="50" t="s">
        <v>221</v>
      </c>
      <c r="B22" s="51">
        <f>教育成本归集表!E26</f>
        <v>3637</v>
      </c>
      <c r="C22" s="51">
        <f t="shared" si="2"/>
        <v>-162683</v>
      </c>
      <c r="D22" s="51">
        <f>D15*0.025</f>
        <v>166320</v>
      </c>
      <c r="E22" s="55">
        <v>0.025</v>
      </c>
    </row>
    <row r="23" spans="1:5">
      <c r="A23" s="52" t="s">
        <v>222</v>
      </c>
      <c r="B23" s="58">
        <f>B15+B16+B17+B19+B20+B21+B22</f>
        <v>12080457.91</v>
      </c>
      <c r="C23" s="58">
        <f t="shared" ref="C23" si="3">C15+C16+C17+C19+C20+C21+C22</f>
        <v>3489731.85</v>
      </c>
      <c r="D23" s="58">
        <f t="shared" ref="D23" si="4">D15+D16+D17+D19+D20+D21+D22</f>
        <v>8590726.06</v>
      </c>
      <c r="E23" s="56"/>
    </row>
    <row r="24" ht="14.25" spans="1:2">
      <c r="A24" s="59" t="s">
        <v>223</v>
      </c>
      <c r="B24" s="60">
        <f>D15+D16+D17++D18+D19+D20+D21+D22</f>
        <v>8590726.06</v>
      </c>
    </row>
    <row r="25" ht="15.75" spans="1:5">
      <c r="A25" s="46" t="s">
        <v>187</v>
      </c>
      <c r="B25" s="47" t="s">
        <v>227</v>
      </c>
      <c r="C25" s="47" t="s">
        <v>228</v>
      </c>
      <c r="D25" s="48" t="s">
        <v>229</v>
      </c>
      <c r="E25" s="49" t="s">
        <v>210</v>
      </c>
    </row>
    <row r="26" ht="15.75" spans="1:5">
      <c r="A26" s="50" t="s">
        <v>211</v>
      </c>
      <c r="B26" s="51">
        <f>教育成本归集表!H6</f>
        <v>15749492.86</v>
      </c>
      <c r="C26" s="51">
        <f t="shared" ref="C26:C33" si="5">B26-D26</f>
        <v>4668572.86</v>
      </c>
      <c r="D26" s="51">
        <f>教职工人数核定表!L5</f>
        <v>11080920</v>
      </c>
      <c r="E26" s="52" t="s">
        <v>212</v>
      </c>
    </row>
    <row r="27" ht="15.75" spans="1:5">
      <c r="A27" s="50" t="s">
        <v>213</v>
      </c>
      <c r="B27" s="51">
        <f>教育成本归集表!H32</f>
        <v>833722.63</v>
      </c>
      <c r="C27" s="51">
        <f t="shared" si="5"/>
        <v>0</v>
      </c>
      <c r="D27" s="51">
        <v>833722.63</v>
      </c>
      <c r="E27" s="53" t="s">
        <v>214</v>
      </c>
    </row>
    <row r="28" ht="15.75" spans="1:5">
      <c r="A28" s="54" t="s">
        <v>215</v>
      </c>
      <c r="B28" s="51">
        <f>教育成本归集表!H9</f>
        <v>1609825.56</v>
      </c>
      <c r="C28" s="51">
        <f t="shared" si="5"/>
        <v>0</v>
      </c>
      <c r="D28" s="51">
        <v>1609825.56</v>
      </c>
      <c r="E28" s="55"/>
    </row>
    <row r="29" ht="15.75" spans="1:5">
      <c r="A29" s="50" t="s">
        <v>216</v>
      </c>
      <c r="B29" s="51"/>
      <c r="C29" s="51">
        <f t="shared" si="5"/>
        <v>0</v>
      </c>
      <c r="D29" s="51"/>
      <c r="E29" s="56"/>
    </row>
    <row r="30" ht="15.75" spans="1:5">
      <c r="A30" s="54" t="s">
        <v>217</v>
      </c>
      <c r="B30" s="51"/>
      <c r="C30" s="51">
        <f t="shared" si="5"/>
        <v>0</v>
      </c>
      <c r="D30" s="51"/>
      <c r="E30" s="56"/>
    </row>
    <row r="31" ht="15.75" spans="1:5">
      <c r="A31" s="50" t="s">
        <v>218</v>
      </c>
      <c r="B31" s="51">
        <f>教育成本归集表!H10</f>
        <v>373533</v>
      </c>
      <c r="C31" s="51">
        <f t="shared" si="5"/>
        <v>-154623</v>
      </c>
      <c r="D31" s="51">
        <v>528156</v>
      </c>
      <c r="E31" s="57" t="s">
        <v>219</v>
      </c>
    </row>
    <row r="32" ht="15.75" spans="1:5">
      <c r="A32" s="50" t="s">
        <v>220</v>
      </c>
      <c r="B32" s="51">
        <f>教育成本归集表!H31</f>
        <v>113301.67</v>
      </c>
      <c r="C32" s="51">
        <f t="shared" si="5"/>
        <v>-108316.73</v>
      </c>
      <c r="D32" s="51">
        <f>D26*0.02</f>
        <v>221618.4</v>
      </c>
      <c r="E32" s="57">
        <v>0.02</v>
      </c>
    </row>
    <row r="33" ht="15.75" spans="1:5">
      <c r="A33" s="50" t="s">
        <v>221</v>
      </c>
      <c r="B33" s="51">
        <f>教育成本归集表!H26</f>
        <v>180595</v>
      </c>
      <c r="C33" s="51">
        <f t="shared" si="5"/>
        <v>-96428</v>
      </c>
      <c r="D33" s="51">
        <f>D26*0.025</f>
        <v>277023</v>
      </c>
      <c r="E33" s="55">
        <v>0.025</v>
      </c>
    </row>
    <row r="34" spans="1:5">
      <c r="A34" s="52" t="s">
        <v>222</v>
      </c>
      <c r="B34" s="58">
        <f>B26+B27+B28+B30+B31+B32+B33</f>
        <v>18860470.72</v>
      </c>
      <c r="C34" s="58">
        <f>C26+C27+C28+C30+C31+C32+C33</f>
        <v>4309205.13</v>
      </c>
      <c r="D34" s="58">
        <f t="shared" ref="D34" si="6">D26+D27+D28+D30+D31+D32+D33</f>
        <v>14551265.59</v>
      </c>
      <c r="E34" s="56"/>
    </row>
    <row r="35" ht="14.25" spans="1:2">
      <c r="A35" s="59" t="s">
        <v>223</v>
      </c>
      <c r="B35" s="60">
        <f>D26+D27+D28++D29+D30+D31+D32+D33</f>
        <v>14551265.59</v>
      </c>
    </row>
  </sheetData>
  <mergeCells count="1">
    <mergeCell ref="A1:D1"/>
  </mergeCells>
  <pageMargins left="0.78740157480315" right="0.354330708661417" top="0.748031496062992" bottom="0.748031496062992" header="0.31496062992126" footer="0.31496062992126"/>
  <pageSetup paperSize="9" scale="85"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31"/>
  <sheetViews>
    <sheetView workbookViewId="0">
      <selection activeCell="F6" sqref="F6:J8"/>
    </sheetView>
  </sheetViews>
  <sheetFormatPr defaultColWidth="9" defaultRowHeight="13.5"/>
  <cols>
    <col min="1" max="1" width="25.875" customWidth="1"/>
    <col min="2" max="2" width="17.125" customWidth="1"/>
    <col min="3" max="3" width="14.375" customWidth="1"/>
    <col min="4" max="4" width="10.125" customWidth="1"/>
    <col min="5" max="5" width="17.625" customWidth="1"/>
    <col min="6" max="6" width="22.625" customWidth="1"/>
    <col min="7" max="7" width="16.25" customWidth="1"/>
    <col min="8" max="8" width="17.375" customWidth="1"/>
    <col min="9" max="9" width="11.625" customWidth="1"/>
    <col min="10" max="10" width="12.125" customWidth="1"/>
    <col min="11" max="11" width="21.25" customWidth="1"/>
    <col min="12" max="12" width="13.875" customWidth="1"/>
    <col min="13" max="13" width="12" customWidth="1"/>
    <col min="14" max="14" width="11.25" customWidth="1"/>
    <col min="15" max="15" width="10.625" customWidth="1"/>
    <col min="16" max="16" width="22.125" customWidth="1"/>
    <col min="17" max="18" width="13.125" customWidth="1"/>
    <col min="19" max="19" width="14.625" customWidth="1"/>
    <col min="20" max="20" width="11.125" customWidth="1"/>
  </cols>
  <sheetData>
    <row r="1" ht="25.5" spans="1:20">
      <c r="A1" s="6" t="s">
        <v>230</v>
      </c>
      <c r="B1" s="6"/>
      <c r="C1" s="6"/>
      <c r="D1" s="6"/>
      <c r="E1" s="6"/>
      <c r="F1" s="6" t="s">
        <v>231</v>
      </c>
      <c r="G1" s="6"/>
      <c r="H1" s="6"/>
      <c r="I1" s="6"/>
      <c r="J1" s="6"/>
      <c r="K1" s="6" t="s">
        <v>232</v>
      </c>
      <c r="L1" s="6"/>
      <c r="M1" s="6"/>
      <c r="N1" s="6"/>
      <c r="O1" s="6"/>
      <c r="P1" s="6" t="s">
        <v>233</v>
      </c>
      <c r="Q1" s="6"/>
      <c r="R1" s="6"/>
      <c r="S1" s="6"/>
      <c r="T1" s="6"/>
    </row>
    <row r="2" ht="15.75" spans="1:20">
      <c r="A2" s="7" t="s">
        <v>234</v>
      </c>
      <c r="B2" s="8" t="s">
        <v>235</v>
      </c>
      <c r="C2" s="8" t="s">
        <v>236</v>
      </c>
      <c r="D2" s="8" t="s">
        <v>237</v>
      </c>
      <c r="E2" s="8" t="s">
        <v>238</v>
      </c>
      <c r="F2" s="7" t="s">
        <v>234</v>
      </c>
      <c r="G2" s="8" t="s">
        <v>235</v>
      </c>
      <c r="H2" s="8" t="s">
        <v>236</v>
      </c>
      <c r="I2" s="8" t="s">
        <v>237</v>
      </c>
      <c r="J2" s="8" t="s">
        <v>238</v>
      </c>
      <c r="K2" s="7" t="s">
        <v>234</v>
      </c>
      <c r="L2" s="8" t="s">
        <v>235</v>
      </c>
      <c r="M2" s="8" t="s">
        <v>236</v>
      </c>
      <c r="N2" s="8" t="s">
        <v>237</v>
      </c>
      <c r="O2" s="8" t="s">
        <v>238</v>
      </c>
      <c r="P2" s="7" t="s">
        <v>234</v>
      </c>
      <c r="Q2" s="8" t="s">
        <v>235</v>
      </c>
      <c r="R2" s="8" t="s">
        <v>236</v>
      </c>
      <c r="S2" s="8" t="s">
        <v>237</v>
      </c>
      <c r="T2" s="8" t="s">
        <v>238</v>
      </c>
    </row>
    <row r="3" ht="21.75" customHeight="1" spans="1:20">
      <c r="A3" s="9" t="s">
        <v>239</v>
      </c>
      <c r="B3" s="10">
        <f>B4</f>
        <v>370000000</v>
      </c>
      <c r="C3" s="11"/>
      <c r="D3" s="12">
        <v>0.05</v>
      </c>
      <c r="E3" s="10"/>
      <c r="F3" s="9" t="s">
        <v>239</v>
      </c>
      <c r="G3" s="10">
        <f>G4</f>
        <v>370000000</v>
      </c>
      <c r="H3" s="11"/>
      <c r="I3" s="12">
        <v>0.05</v>
      </c>
      <c r="J3" s="10"/>
      <c r="K3" s="9" t="s">
        <v>239</v>
      </c>
      <c r="L3" s="10">
        <f>L4+L9+L21+L28</f>
        <v>404245320.994982</v>
      </c>
      <c r="M3" s="11"/>
      <c r="N3" s="12">
        <v>0.05</v>
      </c>
      <c r="O3" s="10">
        <f>O4+O9+O21+O28</f>
        <v>9741087.83175</v>
      </c>
      <c r="P3" s="9" t="s">
        <v>239</v>
      </c>
      <c r="Q3" s="10">
        <f>Q4+Q9+Q21+Q28</f>
        <v>2071650.52</v>
      </c>
      <c r="R3" s="11" t="s">
        <v>240</v>
      </c>
      <c r="S3" s="12">
        <v>0.05</v>
      </c>
      <c r="T3" s="10">
        <f>T4+T9+T21+T28</f>
        <v>0</v>
      </c>
    </row>
    <row r="4" ht="21.75" customHeight="1" spans="1:20">
      <c r="A4" s="13" t="s">
        <v>241</v>
      </c>
      <c r="B4" s="10">
        <f>SUM(B5:B8)</f>
        <v>370000000</v>
      </c>
      <c r="C4" s="10"/>
      <c r="D4" s="10"/>
      <c r="E4" s="14">
        <f>SUM(E5:E8)</f>
        <v>7030000</v>
      </c>
      <c r="F4" s="13" t="s">
        <v>241</v>
      </c>
      <c r="G4" s="10">
        <f>SUM(G5:G8)</f>
        <v>370000000</v>
      </c>
      <c r="H4" s="10"/>
      <c r="I4" s="10"/>
      <c r="J4" s="14">
        <f>SUM(J5:J8)</f>
        <v>7030000</v>
      </c>
      <c r="K4" s="13" t="s">
        <v>241</v>
      </c>
      <c r="L4" s="10">
        <f>SUM(L5:L8)</f>
        <v>370000000</v>
      </c>
      <c r="M4" s="10"/>
      <c r="N4" s="10"/>
      <c r="O4" s="14">
        <f>SUM(O5:O8)</f>
        <v>7030000</v>
      </c>
      <c r="P4" s="13" t="s">
        <v>241</v>
      </c>
      <c r="Q4" s="10">
        <f>SUM(Q5:Q8)</f>
        <v>0</v>
      </c>
      <c r="R4" s="10"/>
      <c r="S4" s="10"/>
      <c r="T4" s="14">
        <f>SUM(T5:T8)</f>
        <v>0</v>
      </c>
    </row>
    <row r="5" ht="21.75" customHeight="1" spans="1:20">
      <c r="A5" s="15" t="s">
        <v>242</v>
      </c>
      <c r="B5" s="10">
        <v>370000000</v>
      </c>
      <c r="C5" s="10">
        <v>50</v>
      </c>
      <c r="D5" s="12">
        <v>0.05</v>
      </c>
      <c r="E5" s="10">
        <v>7030000</v>
      </c>
      <c r="F5" s="15" t="s">
        <v>242</v>
      </c>
      <c r="G5" s="10">
        <v>370000000</v>
      </c>
      <c r="H5" s="10">
        <v>50</v>
      </c>
      <c r="I5" s="12">
        <v>0.05</v>
      </c>
      <c r="J5" s="10">
        <v>7030000</v>
      </c>
      <c r="K5" s="15" t="s">
        <v>242</v>
      </c>
      <c r="L5" s="10">
        <v>370000000</v>
      </c>
      <c r="M5" s="10">
        <v>50</v>
      </c>
      <c r="N5" s="12">
        <v>0.05</v>
      </c>
      <c r="O5" s="10">
        <v>7030000</v>
      </c>
      <c r="P5" s="15" t="s">
        <v>242</v>
      </c>
      <c r="Q5" s="10"/>
      <c r="R5" s="10"/>
      <c r="S5" s="10"/>
      <c r="T5" s="10"/>
    </row>
    <row r="6" ht="21.75" customHeight="1" spans="1:20">
      <c r="A6" s="16" t="s">
        <v>243</v>
      </c>
      <c r="B6" s="17"/>
      <c r="C6" s="17"/>
      <c r="D6" s="17"/>
      <c r="E6" s="18"/>
      <c r="F6" s="16" t="s">
        <v>244</v>
      </c>
      <c r="G6" s="17"/>
      <c r="H6" s="17"/>
      <c r="I6" s="17"/>
      <c r="J6" s="18"/>
      <c r="K6" s="16" t="s">
        <v>245</v>
      </c>
      <c r="L6" s="17"/>
      <c r="M6" s="17"/>
      <c r="N6" s="17"/>
      <c r="O6" s="18"/>
      <c r="P6" s="15" t="s">
        <v>246</v>
      </c>
      <c r="Q6" s="10"/>
      <c r="R6" s="10"/>
      <c r="S6" s="10"/>
      <c r="T6" s="10"/>
    </row>
    <row r="7" ht="21.75" customHeight="1" spans="1:20">
      <c r="A7" s="19"/>
      <c r="B7" s="20"/>
      <c r="C7" s="20"/>
      <c r="D7" s="20"/>
      <c r="E7" s="21"/>
      <c r="F7" s="19"/>
      <c r="G7" s="20"/>
      <c r="H7" s="20"/>
      <c r="I7" s="20"/>
      <c r="J7" s="21"/>
      <c r="K7" s="19"/>
      <c r="L7" s="20"/>
      <c r="M7" s="20"/>
      <c r="N7" s="20"/>
      <c r="O7" s="21"/>
      <c r="P7" s="15" t="s">
        <v>247</v>
      </c>
      <c r="Q7" s="10"/>
      <c r="R7" s="10"/>
      <c r="S7" s="10"/>
      <c r="T7" s="10"/>
    </row>
    <row r="8" ht="21.75" customHeight="1" spans="1:20">
      <c r="A8" s="22"/>
      <c r="B8" s="23"/>
      <c r="C8" s="23"/>
      <c r="D8" s="23"/>
      <c r="E8" s="24"/>
      <c r="F8" s="22"/>
      <c r="G8" s="23"/>
      <c r="H8" s="23"/>
      <c r="I8" s="23"/>
      <c r="J8" s="24"/>
      <c r="K8" s="22"/>
      <c r="L8" s="23"/>
      <c r="M8" s="23"/>
      <c r="N8" s="23"/>
      <c r="O8" s="24"/>
      <c r="P8" s="15" t="s">
        <v>248</v>
      </c>
      <c r="Q8" s="10"/>
      <c r="R8" s="10"/>
      <c r="S8" s="10"/>
      <c r="T8" s="10"/>
    </row>
    <row r="9" ht="21.75" customHeight="1" spans="1:20">
      <c r="A9" s="25" t="s">
        <v>249</v>
      </c>
      <c r="B9" s="10">
        <f>B10+B11</f>
        <v>3385642.97</v>
      </c>
      <c r="C9" s="11"/>
      <c r="D9" s="12">
        <v>0.05</v>
      </c>
      <c r="E9" s="10">
        <f>E12</f>
        <v>536060.136916667</v>
      </c>
      <c r="F9" s="25" t="s">
        <v>249</v>
      </c>
      <c r="G9" s="10">
        <f>G10+G11</f>
        <v>13662523.61</v>
      </c>
      <c r="H9" s="11"/>
      <c r="I9" s="12">
        <v>0.05</v>
      </c>
      <c r="J9" s="10">
        <f>J12</f>
        <v>2163232.90491667</v>
      </c>
      <c r="K9" s="25" t="s">
        <v>249</v>
      </c>
      <c r="L9" s="10">
        <f>SUM(L10:L20)</f>
        <v>34245320.9949824</v>
      </c>
      <c r="M9" s="11"/>
      <c r="N9" s="12">
        <v>0.05</v>
      </c>
      <c r="O9" s="10">
        <f>O12</f>
        <v>2711087.83175</v>
      </c>
      <c r="P9" s="32" t="s">
        <v>250</v>
      </c>
      <c r="Q9" s="10">
        <f>SUM(Q10:Q20)</f>
        <v>374325.45</v>
      </c>
      <c r="R9" s="11" t="s">
        <v>240</v>
      </c>
      <c r="S9" s="12">
        <v>0.05</v>
      </c>
      <c r="T9" s="10">
        <f>SUM(T10:T20)</f>
        <v>0</v>
      </c>
    </row>
    <row r="10" ht="21.75" customHeight="1" spans="1:20">
      <c r="A10" s="26" t="s">
        <v>251</v>
      </c>
      <c r="B10" s="10">
        <v>495213</v>
      </c>
      <c r="C10" s="10">
        <v>6</v>
      </c>
      <c r="D10" s="12">
        <v>0.05</v>
      </c>
      <c r="E10" s="10">
        <f>B10*0.95/C10</f>
        <v>78408.725</v>
      </c>
      <c r="F10" s="26" t="s">
        <v>251</v>
      </c>
      <c r="G10" s="10">
        <v>1075329.65</v>
      </c>
      <c r="H10" s="10">
        <v>6</v>
      </c>
      <c r="I10" s="12">
        <v>0.05</v>
      </c>
      <c r="J10" s="10">
        <f>G10*0.95/H10</f>
        <v>170260.527916667</v>
      </c>
      <c r="K10" s="26" t="s">
        <v>251</v>
      </c>
      <c r="L10" s="10">
        <v>1585184.45</v>
      </c>
      <c r="M10" s="10">
        <v>6</v>
      </c>
      <c r="N10" s="12">
        <v>0.05</v>
      </c>
      <c r="O10" s="10">
        <f>L10*0.95/M10</f>
        <v>250987.537916667</v>
      </c>
      <c r="P10" s="15" t="s">
        <v>252</v>
      </c>
      <c r="Q10" s="10">
        <f>28708+10640</f>
        <v>39348</v>
      </c>
      <c r="R10" s="10"/>
      <c r="S10" s="10"/>
      <c r="T10" s="10"/>
    </row>
    <row r="11" ht="21.75" customHeight="1" spans="1:20">
      <c r="A11" s="26" t="s">
        <v>253</v>
      </c>
      <c r="B11" s="10">
        <v>2890429.97</v>
      </c>
      <c r="C11" s="10">
        <v>6</v>
      </c>
      <c r="D11" s="12">
        <v>0.05</v>
      </c>
      <c r="E11" s="10">
        <f>B11*0.95/C11</f>
        <v>457651.411916667</v>
      </c>
      <c r="F11" s="26" t="s">
        <v>253</v>
      </c>
      <c r="G11" s="10">
        <v>12587193.96</v>
      </c>
      <c r="H11" s="10">
        <v>6</v>
      </c>
      <c r="I11" s="12">
        <v>0.05</v>
      </c>
      <c r="J11" s="10">
        <f>G11*0.95/H11</f>
        <v>1992972.377</v>
      </c>
      <c r="K11" s="26" t="s">
        <v>253</v>
      </c>
      <c r="L11" s="10">
        <v>15537475.54</v>
      </c>
      <c r="M11" s="10">
        <v>6</v>
      </c>
      <c r="N11" s="12">
        <v>0.05</v>
      </c>
      <c r="O11" s="10">
        <f>L11*0.95/M11</f>
        <v>2460100.29383333</v>
      </c>
      <c r="P11" s="15" t="s">
        <v>254</v>
      </c>
      <c r="Q11" s="10">
        <f>293594.45+19900-10640</f>
        <v>302854.45</v>
      </c>
      <c r="R11" s="10"/>
      <c r="S11" s="10"/>
      <c r="T11" s="10"/>
    </row>
    <row r="12" ht="21.75" customHeight="1" spans="1:20">
      <c r="A12" s="26" t="s">
        <v>222</v>
      </c>
      <c r="B12" s="10">
        <f>B10+B11</f>
        <v>3385642.97</v>
      </c>
      <c r="C12" s="10">
        <v>6</v>
      </c>
      <c r="D12" s="12">
        <v>0.05</v>
      </c>
      <c r="E12" s="10">
        <f>B12*0.95/C12</f>
        <v>536060.136916667</v>
      </c>
      <c r="F12" s="26" t="s">
        <v>222</v>
      </c>
      <c r="G12" s="10">
        <f>G10+G11</f>
        <v>13662523.61</v>
      </c>
      <c r="H12" s="10">
        <v>6</v>
      </c>
      <c r="I12" s="12">
        <v>0.05</v>
      </c>
      <c r="J12" s="10">
        <f>G12*0.95/H12</f>
        <v>2163232.90491667</v>
      </c>
      <c r="K12" s="26" t="s">
        <v>222</v>
      </c>
      <c r="L12" s="10">
        <f>L10+L11</f>
        <v>17122659.99</v>
      </c>
      <c r="M12" s="10">
        <v>6</v>
      </c>
      <c r="N12" s="12">
        <v>0.05</v>
      </c>
      <c r="O12" s="10">
        <f>L12*0.95/M12</f>
        <v>2711087.83175</v>
      </c>
      <c r="P12" s="15" t="s">
        <v>255</v>
      </c>
      <c r="Q12" s="10"/>
      <c r="R12" s="10"/>
      <c r="S12" s="10"/>
      <c r="T12" s="10"/>
    </row>
    <row r="13" ht="21.75" customHeight="1" spans="1:20">
      <c r="A13" s="27" t="s">
        <v>256</v>
      </c>
      <c r="B13" s="17"/>
      <c r="C13" s="17"/>
      <c r="D13" s="17"/>
      <c r="E13" s="18"/>
      <c r="F13" s="27" t="s">
        <v>257</v>
      </c>
      <c r="G13" s="17"/>
      <c r="H13" s="17"/>
      <c r="I13" s="17"/>
      <c r="J13" s="18"/>
      <c r="K13" s="34" t="s">
        <v>258</v>
      </c>
      <c r="L13" s="35"/>
      <c r="M13" s="35"/>
      <c r="N13" s="35"/>
      <c r="O13" s="36"/>
      <c r="P13" s="15" t="s">
        <v>259</v>
      </c>
      <c r="Q13" s="10"/>
      <c r="R13" s="10"/>
      <c r="S13" s="10"/>
      <c r="T13" s="10"/>
    </row>
    <row r="14" ht="21.75" customHeight="1" spans="1:20">
      <c r="A14" s="19"/>
      <c r="B14" s="20"/>
      <c r="C14" s="20"/>
      <c r="D14" s="20"/>
      <c r="E14" s="21"/>
      <c r="F14" s="19"/>
      <c r="G14" s="20"/>
      <c r="H14" s="20"/>
      <c r="I14" s="20"/>
      <c r="J14" s="21"/>
      <c r="K14" s="37"/>
      <c r="L14" s="38"/>
      <c r="M14" s="38"/>
      <c r="N14" s="38"/>
      <c r="O14" s="39"/>
      <c r="P14" s="15" t="s">
        <v>260</v>
      </c>
      <c r="Q14" s="10"/>
      <c r="R14" s="10"/>
      <c r="S14" s="10"/>
      <c r="T14" s="10"/>
    </row>
    <row r="15" ht="21.75" customHeight="1" spans="1:20">
      <c r="A15" s="22"/>
      <c r="B15" s="23"/>
      <c r="C15" s="23"/>
      <c r="D15" s="23"/>
      <c r="E15" s="24"/>
      <c r="F15" s="22"/>
      <c r="G15" s="23"/>
      <c r="H15" s="23"/>
      <c r="I15" s="23"/>
      <c r="J15" s="24"/>
      <c r="K15" s="40"/>
      <c r="L15" s="41"/>
      <c r="M15" s="41"/>
      <c r="N15" s="41"/>
      <c r="O15" s="42"/>
      <c r="P15" s="15" t="s">
        <v>261</v>
      </c>
      <c r="Q15" s="10"/>
      <c r="R15" s="10"/>
      <c r="S15" s="10"/>
      <c r="T15" s="10"/>
    </row>
    <row r="16" ht="33.75" customHeight="1" spans="1:20">
      <c r="A16" s="26" t="s">
        <v>262</v>
      </c>
      <c r="B16" s="10"/>
      <c r="C16" s="28" t="s">
        <v>263</v>
      </c>
      <c r="D16" s="10"/>
      <c r="E16" s="10"/>
      <c r="F16" s="26" t="s">
        <v>262</v>
      </c>
      <c r="G16" s="10"/>
      <c r="H16" s="28" t="s">
        <v>263</v>
      </c>
      <c r="I16" s="10"/>
      <c r="J16" s="10"/>
      <c r="K16" s="26" t="s">
        <v>262</v>
      </c>
      <c r="L16" s="10"/>
      <c r="M16" s="28" t="s">
        <v>263</v>
      </c>
      <c r="N16" s="10"/>
      <c r="O16" s="10"/>
      <c r="P16" s="15" t="s">
        <v>264</v>
      </c>
      <c r="Q16" s="10"/>
      <c r="R16" s="10"/>
      <c r="S16" s="10"/>
      <c r="T16" s="10"/>
    </row>
    <row r="17" ht="29.25" customHeight="1" spans="1:20">
      <c r="A17" s="26" t="s">
        <v>265</v>
      </c>
      <c r="B17" s="10" t="s">
        <v>266</v>
      </c>
      <c r="C17" s="10">
        <f>237848.33+E9</f>
        <v>773908.466916667</v>
      </c>
      <c r="D17" s="10"/>
      <c r="E17" s="10"/>
      <c r="F17" s="26" t="s">
        <v>265</v>
      </c>
      <c r="G17" s="10" t="s">
        <v>267</v>
      </c>
      <c r="H17" s="10">
        <f>1129486.67+2163232.91</f>
        <v>3292719.58</v>
      </c>
      <c r="I17" s="10"/>
      <c r="J17" s="10"/>
      <c r="K17" s="26" t="s">
        <v>265</v>
      </c>
      <c r="L17" s="10" t="s">
        <v>268</v>
      </c>
      <c r="M17" s="10">
        <f>1762186.68+2711087.83</f>
        <v>4473274.51</v>
      </c>
      <c r="N17" s="10"/>
      <c r="O17" s="10"/>
      <c r="P17" s="15" t="s">
        <v>269</v>
      </c>
      <c r="Q17" s="10">
        <v>20328</v>
      </c>
      <c r="R17" s="10"/>
      <c r="S17" s="10"/>
      <c r="T17" s="10"/>
    </row>
    <row r="18" ht="21.75" customHeight="1" spans="1:20">
      <c r="A18" s="26" t="s">
        <v>270</v>
      </c>
      <c r="B18" s="29">
        <v>0.458</v>
      </c>
      <c r="C18" s="30">
        <f>C17*0.458</f>
        <v>354450.077847833</v>
      </c>
      <c r="D18" s="10"/>
      <c r="E18" s="10"/>
      <c r="F18" s="26" t="s">
        <v>270</v>
      </c>
      <c r="G18" s="29">
        <v>0.569</v>
      </c>
      <c r="H18" s="30">
        <f>H17*G18</f>
        <v>1873557.44102</v>
      </c>
      <c r="I18" s="10"/>
      <c r="J18" s="10"/>
      <c r="K18" s="26" t="s">
        <v>270</v>
      </c>
      <c r="L18" s="29">
        <v>0.43</v>
      </c>
      <c r="M18" s="30">
        <f>M17*收入情况表!D22</f>
        <v>1935668.80419486</v>
      </c>
      <c r="N18" s="10"/>
      <c r="O18" s="10"/>
      <c r="P18" s="15" t="s">
        <v>271</v>
      </c>
      <c r="Q18" s="10"/>
      <c r="R18" s="10"/>
      <c r="S18" s="10"/>
      <c r="T18" s="10"/>
    </row>
    <row r="19" ht="21.75" customHeight="1" spans="1:20">
      <c r="A19" s="26" t="s">
        <v>272</v>
      </c>
      <c r="B19" s="29">
        <v>0.2</v>
      </c>
      <c r="C19" s="10">
        <f>C17*0.2</f>
        <v>154781.693383333</v>
      </c>
      <c r="D19" s="10"/>
      <c r="E19" s="10"/>
      <c r="F19" s="26" t="s">
        <v>272</v>
      </c>
      <c r="G19" s="29">
        <v>0.268</v>
      </c>
      <c r="H19" s="10">
        <f>H17*G19</f>
        <v>882448.84744</v>
      </c>
      <c r="I19" s="10"/>
      <c r="J19" s="10"/>
      <c r="K19" s="26" t="s">
        <v>272</v>
      </c>
      <c r="L19" s="29">
        <f>收入情况表!D23</f>
        <v>0.214982431968719</v>
      </c>
      <c r="M19" s="10">
        <f>M17*0.2</f>
        <v>894654.902</v>
      </c>
      <c r="N19" s="10"/>
      <c r="O19" s="10"/>
      <c r="P19" s="15" t="s">
        <v>273</v>
      </c>
      <c r="Q19" s="10">
        <v>11795</v>
      </c>
      <c r="R19" s="10"/>
      <c r="S19" s="10"/>
      <c r="T19" s="10"/>
    </row>
    <row r="20" ht="21.75" customHeight="1" spans="1:20">
      <c r="A20" s="31" t="s">
        <v>274</v>
      </c>
      <c r="B20" s="29">
        <v>0.342</v>
      </c>
      <c r="C20" s="10">
        <f>C17*0.342</f>
        <v>264676.6956855</v>
      </c>
      <c r="D20" s="10"/>
      <c r="E20" s="10"/>
      <c r="F20" s="31" t="s">
        <v>274</v>
      </c>
      <c r="G20" s="29">
        <v>0.163</v>
      </c>
      <c r="H20" s="10">
        <f>H17*G20</f>
        <v>536713.29154</v>
      </c>
      <c r="I20" s="10"/>
      <c r="J20" s="10"/>
      <c r="K20" s="31" t="s">
        <v>274</v>
      </c>
      <c r="L20" s="29">
        <f>收入情况表!D24</f>
        <v>0.37</v>
      </c>
      <c r="M20" s="10">
        <f>M17*0.342</f>
        <v>1529859.88242</v>
      </c>
      <c r="N20" s="10"/>
      <c r="O20" s="10"/>
      <c r="P20" s="43" t="s">
        <v>275</v>
      </c>
      <c r="Q20" s="10"/>
      <c r="R20" s="10"/>
      <c r="S20" s="10"/>
      <c r="T20" s="10"/>
    </row>
    <row r="21" ht="21.75" customHeight="1" spans="1:20">
      <c r="A21" s="32"/>
      <c r="B21" s="10"/>
      <c r="C21" s="11"/>
      <c r="D21" s="12"/>
      <c r="E21" s="10"/>
      <c r="F21" s="32"/>
      <c r="G21" s="10"/>
      <c r="H21" s="11"/>
      <c r="I21" s="12"/>
      <c r="J21" s="10"/>
      <c r="K21" s="32"/>
      <c r="L21" s="10"/>
      <c r="M21" s="11"/>
      <c r="N21" s="12"/>
      <c r="O21" s="10"/>
      <c r="P21" s="32" t="s">
        <v>276</v>
      </c>
      <c r="Q21" s="10">
        <f>SUM(Q22:Q27)</f>
        <v>986285</v>
      </c>
      <c r="R21" s="11" t="s">
        <v>277</v>
      </c>
      <c r="S21" s="12">
        <v>0.05</v>
      </c>
      <c r="T21" s="10">
        <f>SUM(T22:T27)</f>
        <v>0</v>
      </c>
    </row>
    <row r="22" ht="21.75" customHeight="1" spans="1:20">
      <c r="A22" s="15"/>
      <c r="B22" s="10"/>
      <c r="C22" s="10"/>
      <c r="D22" s="10"/>
      <c r="E22" s="10"/>
      <c r="F22" s="15"/>
      <c r="G22" s="10"/>
      <c r="H22" s="10"/>
      <c r="I22" s="10"/>
      <c r="J22" s="10"/>
      <c r="K22" s="15"/>
      <c r="L22" s="10"/>
      <c r="M22" s="10"/>
      <c r="N22" s="10"/>
      <c r="O22" s="10"/>
      <c r="P22" s="15" t="s">
        <v>278</v>
      </c>
      <c r="Q22" s="10">
        <v>604565.29</v>
      </c>
      <c r="R22" s="10"/>
      <c r="S22" s="10"/>
      <c r="T22" s="10"/>
    </row>
    <row r="23" ht="21.75" customHeight="1" spans="1:20">
      <c r="A23" s="15"/>
      <c r="B23" s="10"/>
      <c r="C23" s="10"/>
      <c r="D23" s="10"/>
      <c r="E23" s="10"/>
      <c r="F23" s="15"/>
      <c r="G23" s="10"/>
      <c r="H23" s="10"/>
      <c r="I23" s="10"/>
      <c r="J23" s="10"/>
      <c r="K23" s="15"/>
      <c r="L23" s="10"/>
      <c r="M23" s="10"/>
      <c r="N23" s="10"/>
      <c r="O23" s="10"/>
      <c r="P23" s="15" t="s">
        <v>279</v>
      </c>
      <c r="Q23" s="10">
        <v>20960</v>
      </c>
      <c r="R23" s="10"/>
      <c r="S23" s="10"/>
      <c r="T23" s="10"/>
    </row>
    <row r="24" ht="21.75" customHeight="1" spans="1:20">
      <c r="A24" s="15"/>
      <c r="B24" s="10"/>
      <c r="C24" s="10"/>
      <c r="D24" s="10"/>
      <c r="E24" s="10"/>
      <c r="F24" s="15"/>
      <c r="G24" s="10"/>
      <c r="H24" s="10"/>
      <c r="I24" s="10"/>
      <c r="J24" s="10"/>
      <c r="K24" s="15"/>
      <c r="L24" s="10"/>
      <c r="M24" s="10"/>
      <c r="N24" s="10"/>
      <c r="O24" s="10"/>
      <c r="P24" s="15" t="s">
        <v>280</v>
      </c>
      <c r="Q24" s="10">
        <v>186659.71</v>
      </c>
      <c r="R24" s="10"/>
      <c r="S24" s="10"/>
      <c r="T24" s="10"/>
    </row>
    <row r="25" ht="21.75" customHeight="1" spans="1:20">
      <c r="A25" s="15"/>
      <c r="B25" s="10"/>
      <c r="C25" s="10"/>
      <c r="D25" s="10"/>
      <c r="E25" s="10"/>
      <c r="F25" s="15"/>
      <c r="G25" s="10"/>
      <c r="H25" s="10"/>
      <c r="I25" s="10"/>
      <c r="J25" s="10"/>
      <c r="K25" s="15"/>
      <c r="L25" s="10"/>
      <c r="M25" s="10"/>
      <c r="N25" s="10"/>
      <c r="O25" s="10"/>
      <c r="P25" s="15" t="s">
        <v>281</v>
      </c>
      <c r="Q25" s="10"/>
      <c r="R25" s="10"/>
      <c r="S25" s="10"/>
      <c r="T25" s="10"/>
    </row>
    <row r="26" ht="21.75" customHeight="1" spans="1:20">
      <c r="A26" s="15"/>
      <c r="B26" s="10"/>
      <c r="C26" s="10"/>
      <c r="D26" s="10"/>
      <c r="E26" s="10"/>
      <c r="F26" s="15"/>
      <c r="G26" s="10"/>
      <c r="H26" s="10"/>
      <c r="I26" s="10"/>
      <c r="J26" s="10"/>
      <c r="K26" s="15"/>
      <c r="L26" s="10"/>
      <c r="M26" s="10"/>
      <c r="N26" s="10"/>
      <c r="O26" s="10"/>
      <c r="P26" s="15" t="s">
        <v>282</v>
      </c>
      <c r="Q26" s="10">
        <v>4600</v>
      </c>
      <c r="R26" s="10"/>
      <c r="S26" s="10"/>
      <c r="T26" s="10"/>
    </row>
    <row r="27" ht="21.75" customHeight="1" spans="1:20">
      <c r="A27" s="15"/>
      <c r="B27" s="10"/>
      <c r="C27" s="10"/>
      <c r="D27" s="10"/>
      <c r="E27" s="10"/>
      <c r="F27" s="15"/>
      <c r="G27" s="10"/>
      <c r="H27" s="10"/>
      <c r="I27" s="10"/>
      <c r="J27" s="10"/>
      <c r="K27" s="15"/>
      <c r="L27" s="10"/>
      <c r="M27" s="10"/>
      <c r="N27" s="10"/>
      <c r="O27" s="10"/>
      <c r="P27" s="15" t="s">
        <v>283</v>
      </c>
      <c r="Q27" s="10">
        <v>169500</v>
      </c>
      <c r="R27" s="10"/>
      <c r="S27" s="10"/>
      <c r="T27" s="10"/>
    </row>
    <row r="28" ht="21.75" customHeight="1" spans="1:20">
      <c r="A28" s="32"/>
      <c r="B28" s="10"/>
      <c r="C28" s="11"/>
      <c r="D28" s="12"/>
      <c r="E28" s="10"/>
      <c r="F28" s="32"/>
      <c r="G28" s="10"/>
      <c r="H28" s="11"/>
      <c r="I28" s="12"/>
      <c r="J28" s="10"/>
      <c r="K28" s="32"/>
      <c r="L28" s="10"/>
      <c r="M28" s="11"/>
      <c r="N28" s="12"/>
      <c r="O28" s="10"/>
      <c r="P28" s="32" t="s">
        <v>284</v>
      </c>
      <c r="Q28" s="10">
        <f>Q29+Q31</f>
        <v>711040.07</v>
      </c>
      <c r="R28" s="11" t="s">
        <v>240</v>
      </c>
      <c r="S28" s="12">
        <v>0.05</v>
      </c>
      <c r="T28" s="10">
        <f>T29+T31</f>
        <v>0</v>
      </c>
    </row>
    <row r="29" ht="21.75" customHeight="1" spans="1:20">
      <c r="A29" s="15"/>
      <c r="B29" s="10"/>
      <c r="C29" s="10"/>
      <c r="D29" s="10"/>
      <c r="E29" s="10"/>
      <c r="F29" s="15"/>
      <c r="G29" s="10"/>
      <c r="H29" s="10"/>
      <c r="I29" s="10"/>
      <c r="J29" s="10"/>
      <c r="K29" s="15"/>
      <c r="L29" s="10"/>
      <c r="M29" s="10"/>
      <c r="N29" s="10"/>
      <c r="O29" s="10"/>
      <c r="P29" s="15" t="s">
        <v>285</v>
      </c>
      <c r="Q29" s="10">
        <f>183406+50928+310273.3</f>
        <v>544607.3</v>
      </c>
      <c r="R29" s="10"/>
      <c r="S29" s="10"/>
      <c r="T29" s="10"/>
    </row>
    <row r="30" ht="21.75" customHeight="1" spans="1:20">
      <c r="A30" s="33"/>
      <c r="B30" s="10"/>
      <c r="C30" s="10"/>
      <c r="D30" s="10"/>
      <c r="E30" s="10"/>
      <c r="F30" s="33"/>
      <c r="G30" s="10"/>
      <c r="H30" s="10"/>
      <c r="I30" s="10"/>
      <c r="J30" s="10"/>
      <c r="K30" s="33"/>
      <c r="L30" s="10"/>
      <c r="M30" s="10"/>
      <c r="N30" s="10"/>
      <c r="O30" s="10"/>
      <c r="P30" s="33" t="s">
        <v>286</v>
      </c>
      <c r="Q30" s="10">
        <v>50928</v>
      </c>
      <c r="R30" s="10"/>
      <c r="S30" s="10"/>
      <c r="T30" s="10"/>
    </row>
    <row r="31" ht="21.75" customHeight="1" spans="1:20">
      <c r="A31" s="15"/>
      <c r="B31" s="10"/>
      <c r="C31" s="10"/>
      <c r="D31" s="10"/>
      <c r="E31" s="10"/>
      <c r="F31" s="15"/>
      <c r="G31" s="10"/>
      <c r="H31" s="10"/>
      <c r="I31" s="10"/>
      <c r="J31" s="10"/>
      <c r="K31" s="15"/>
      <c r="L31" s="10"/>
      <c r="M31" s="10"/>
      <c r="N31" s="10"/>
      <c r="O31" s="10"/>
      <c r="P31" s="15" t="s">
        <v>287</v>
      </c>
      <c r="Q31" s="10">
        <f>10140+156292.77</f>
        <v>166432.77</v>
      </c>
      <c r="R31" s="10"/>
      <c r="S31" s="10"/>
      <c r="T31" s="10"/>
    </row>
  </sheetData>
  <mergeCells count="10">
    <mergeCell ref="A1:E1"/>
    <mergeCell ref="F1:J1"/>
    <mergeCell ref="K1:O1"/>
    <mergeCell ref="P1:T1"/>
    <mergeCell ref="A6:E8"/>
    <mergeCell ref="F6:J8"/>
    <mergeCell ref="K6:O8"/>
    <mergeCell ref="A13:E15"/>
    <mergeCell ref="F13:J15"/>
    <mergeCell ref="K13:O15"/>
  </mergeCells>
  <pageMargins left="0.708661417322835" right="0.708661417322835" top="0.748031496062992" bottom="0.748031496062992"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封面</vt:lpstr>
      <vt:lpstr>基本情况表</vt:lpstr>
      <vt:lpstr>收入情况表</vt:lpstr>
      <vt:lpstr>教育成本归集表</vt:lpstr>
      <vt:lpstr>教育培养成本核定表</vt:lpstr>
      <vt:lpstr>学生人数核定表</vt:lpstr>
      <vt:lpstr>教职工人数核定表</vt:lpstr>
      <vt:lpstr>薪酬核定表</vt:lpstr>
      <vt:lpstr>固定资产折旧计算表</vt:lpstr>
      <vt:lpstr>承诺书</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文档存本地丢失不负责</cp:lastModifiedBy>
  <dcterms:created xsi:type="dcterms:W3CDTF">2022-07-04T01:13:00Z</dcterms:created>
  <cp:lastPrinted>2022-08-18T06:53:00Z</cp:lastPrinted>
  <dcterms:modified xsi:type="dcterms:W3CDTF">2023-11-10T03:32:12Z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2CA97007C25747A790A7A9DC60D66987</vt:lpwstr>
  </property>
  <property fmtid="{D5CDD505-2E9C-101B-9397-08002B2CF9AE}" pid="3" name="KSOProductBuildVer">
    <vt:lpwstr>2052-12.1.0.15712</vt:lpwstr>
  </property>
</Properties>
</file>