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75" activeTab="9"/>
  </bookViews>
  <sheets>
    <sheet name="封面" sheetId="1" r:id="rId1"/>
    <sheet name="基本情况表" sheetId="2" r:id="rId2"/>
    <sheet name="收入情况表" sheetId="3" r:id="rId3"/>
    <sheet name="教育成本归集表" sheetId="4" r:id="rId4"/>
    <sheet name="教育培养成本核定表" sheetId="5" r:id="rId5"/>
    <sheet name="学生人数核定表" sheetId="6" r:id="rId6"/>
    <sheet name="教职工人数核定表" sheetId="7" r:id="rId7"/>
    <sheet name="薪酬核定表" sheetId="8" r:id="rId8"/>
    <sheet name="固定资产折旧计算表" sheetId="9" r:id="rId9"/>
    <sheet name="承诺书" sheetId="10" r:id="rId10"/>
    <sheet name="分摊系数表" sheetId="11"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Administrator</author>
  </authors>
  <commentList>
    <comment ref="E36" authorId="0">
      <text>
        <r>
          <rPr>
            <b/>
            <sz val="9"/>
            <rFont val="宋体"/>
            <charset val="134"/>
          </rPr>
          <t>Administrator:</t>
        </r>
        <r>
          <rPr>
            <sz val="9"/>
            <rFont val="宋体"/>
            <charset val="134"/>
          </rPr>
          <t xml:space="preserve">
从2020年下学期开始拨班费</t>
        </r>
      </text>
    </comment>
  </commentList>
</comments>
</file>

<file path=xl/sharedStrings.xml><?xml version="1.0" encoding="utf-8"?>
<sst xmlns="http://schemas.openxmlformats.org/spreadsheetml/2006/main" count="422" uniqueCount="292">
  <si>
    <t>民办中小学教育定价成本监审表</t>
  </si>
  <si>
    <t>（2019-2021年度）</t>
  </si>
  <si>
    <r>
      <rPr>
        <sz val="16"/>
        <rFont val="宋体"/>
        <charset val="134"/>
      </rPr>
      <t>学校名称</t>
    </r>
    <r>
      <rPr>
        <sz val="16"/>
        <rFont val="Times New Roman"/>
        <charset val="134"/>
      </rPr>
      <t xml:space="preserve">  </t>
    </r>
    <r>
      <rPr>
        <sz val="16"/>
        <rFont val="宋体"/>
        <charset val="134"/>
      </rPr>
      <t>（公章）</t>
    </r>
  </si>
  <si>
    <t>祁阳市伯爵小学</t>
  </si>
  <si>
    <r>
      <rPr>
        <sz val="16"/>
        <rFont val="宋体"/>
        <charset val="134"/>
      </rPr>
      <t>法人代表</t>
    </r>
    <r>
      <rPr>
        <sz val="16"/>
        <rFont val="Times New Roman"/>
        <charset val="134"/>
      </rPr>
      <t xml:space="preserve">  </t>
    </r>
  </si>
  <si>
    <t>蒋崇智</t>
  </si>
  <si>
    <r>
      <rPr>
        <sz val="16"/>
        <rFont val="宋体"/>
        <charset val="134"/>
      </rPr>
      <t>财务负责人</t>
    </r>
  </si>
  <si>
    <t>陈小容</t>
  </si>
  <si>
    <r>
      <rPr>
        <sz val="16"/>
        <rFont val="宋体"/>
        <charset val="134"/>
      </rPr>
      <t>填</t>
    </r>
    <r>
      <rPr>
        <sz val="16"/>
        <rFont val="Times New Roman"/>
        <charset val="134"/>
      </rPr>
      <t xml:space="preserve"> </t>
    </r>
    <r>
      <rPr>
        <sz val="16"/>
        <rFont val="宋体"/>
        <charset val="134"/>
      </rPr>
      <t>表</t>
    </r>
    <r>
      <rPr>
        <sz val="16"/>
        <rFont val="Times New Roman"/>
        <charset val="134"/>
      </rPr>
      <t xml:space="preserve"> </t>
    </r>
    <r>
      <rPr>
        <sz val="16"/>
        <rFont val="宋体"/>
        <charset val="134"/>
      </rPr>
      <t>人</t>
    </r>
    <r>
      <rPr>
        <sz val="16"/>
        <rFont val="Times New Roman"/>
        <charset val="134"/>
      </rPr>
      <t xml:space="preserve">  </t>
    </r>
  </si>
  <si>
    <t>周智雯</t>
  </si>
  <si>
    <r>
      <rPr>
        <sz val="16"/>
        <rFont val="宋体"/>
        <charset val="134"/>
      </rPr>
      <t>学校地址</t>
    </r>
  </si>
  <si>
    <t>祁阳市经济开发区荷园路</t>
  </si>
  <si>
    <r>
      <rPr>
        <sz val="16"/>
        <rFont val="宋体"/>
        <charset val="134"/>
      </rPr>
      <t>邮政编码</t>
    </r>
  </si>
  <si>
    <r>
      <rPr>
        <sz val="16"/>
        <rFont val="宋体"/>
        <charset val="134"/>
      </rPr>
      <t>电</t>
    </r>
    <r>
      <rPr>
        <sz val="16"/>
        <rFont val="Times New Roman"/>
        <charset val="134"/>
      </rPr>
      <t xml:space="preserve">    </t>
    </r>
    <r>
      <rPr>
        <sz val="16"/>
        <rFont val="宋体"/>
        <charset val="134"/>
      </rPr>
      <t>话</t>
    </r>
  </si>
  <si>
    <r>
      <rPr>
        <sz val="16"/>
        <rFont val="宋体"/>
        <charset val="134"/>
      </rPr>
      <t>日</t>
    </r>
    <r>
      <rPr>
        <sz val="16"/>
        <rFont val="Times New Roman"/>
        <charset val="134"/>
      </rPr>
      <t xml:space="preserve">    </t>
    </r>
    <r>
      <rPr>
        <sz val="16"/>
        <rFont val="宋体"/>
        <charset val="134"/>
      </rPr>
      <t>期</t>
    </r>
  </si>
  <si>
    <r>
      <rPr>
        <sz val="16"/>
        <rFont val="黑体"/>
        <charset val="134"/>
      </rPr>
      <t>表</t>
    </r>
    <r>
      <rPr>
        <sz val="16"/>
        <rFont val="Times New Roman"/>
        <charset val="134"/>
      </rPr>
      <t>1</t>
    </r>
  </si>
  <si>
    <t>学校基本情况表</t>
  </si>
  <si>
    <t>学校类别：</t>
  </si>
  <si>
    <r>
      <rPr>
        <b/>
        <sz val="12"/>
        <color indexed="8"/>
        <rFont val="宋体"/>
        <charset val="134"/>
      </rPr>
      <t>项　　目</t>
    </r>
  </si>
  <si>
    <r>
      <rPr>
        <b/>
        <sz val="12"/>
        <color indexed="8"/>
        <rFont val="Times New Roman"/>
        <charset val="134"/>
      </rPr>
      <t>2019</t>
    </r>
    <r>
      <rPr>
        <b/>
        <sz val="12"/>
        <color indexed="8"/>
        <rFont val="宋体"/>
        <charset val="134"/>
      </rPr>
      <t>年</t>
    </r>
  </si>
  <si>
    <r>
      <rPr>
        <b/>
        <sz val="12"/>
        <rFont val="Times New Roman"/>
        <charset val="134"/>
      </rPr>
      <t>2020</t>
    </r>
    <r>
      <rPr>
        <b/>
        <sz val="12"/>
        <rFont val="宋体"/>
        <charset val="134"/>
      </rPr>
      <t>年</t>
    </r>
  </si>
  <si>
    <r>
      <rPr>
        <b/>
        <sz val="12"/>
        <rFont val="Times New Roman"/>
        <charset val="134"/>
      </rPr>
      <t>2021</t>
    </r>
    <r>
      <rPr>
        <b/>
        <sz val="12"/>
        <rFont val="宋体"/>
        <charset val="134"/>
      </rPr>
      <t>年</t>
    </r>
  </si>
  <si>
    <r>
      <rPr>
        <b/>
        <sz val="12"/>
        <rFont val="宋体"/>
        <charset val="134"/>
      </rPr>
      <t>备注</t>
    </r>
  </si>
  <si>
    <r>
      <rPr>
        <b/>
        <sz val="12"/>
        <color indexed="8"/>
        <rFont val="宋体"/>
        <charset val="134"/>
      </rPr>
      <t>一、班级（个）</t>
    </r>
  </si>
  <si>
    <r>
      <rPr>
        <sz val="12"/>
        <rFont val="宋体"/>
        <charset val="134"/>
      </rPr>
      <t>数据来源于学生人数统计表（底稿）</t>
    </r>
  </si>
  <si>
    <r>
      <rPr>
        <sz val="12"/>
        <color indexed="8"/>
        <rFont val="宋体"/>
        <charset val="134"/>
      </rPr>
      <t>　　小学部</t>
    </r>
  </si>
  <si>
    <r>
      <rPr>
        <sz val="12"/>
        <color indexed="8"/>
        <rFont val="宋体"/>
        <charset val="134"/>
      </rPr>
      <t>　　初中部</t>
    </r>
  </si>
  <si>
    <r>
      <rPr>
        <sz val="12"/>
        <color rgb="FF000000"/>
        <rFont val="Times New Roman"/>
        <charset val="134"/>
      </rPr>
      <t xml:space="preserve">       </t>
    </r>
    <r>
      <rPr>
        <sz val="12"/>
        <color indexed="8"/>
        <rFont val="宋体"/>
        <charset val="134"/>
      </rPr>
      <t>高中部</t>
    </r>
  </si>
  <si>
    <r>
      <rPr>
        <b/>
        <sz val="12"/>
        <color indexed="8"/>
        <rFont val="宋体"/>
        <charset val="134"/>
      </rPr>
      <t>二、学生总数（人）</t>
    </r>
  </si>
  <si>
    <r>
      <rPr>
        <sz val="12"/>
        <color rgb="FF000000"/>
        <rFont val="Times New Roman"/>
        <charset val="134"/>
      </rPr>
      <t xml:space="preserve">        </t>
    </r>
    <r>
      <rPr>
        <sz val="12"/>
        <color indexed="8"/>
        <rFont val="宋体"/>
        <charset val="134"/>
      </rPr>
      <t>高中部</t>
    </r>
  </si>
  <si>
    <r>
      <rPr>
        <b/>
        <sz val="12"/>
        <rFont val="宋体"/>
        <charset val="134"/>
      </rPr>
      <t>三、标准学生总人数（人）</t>
    </r>
  </si>
  <si>
    <r>
      <rPr>
        <b/>
        <sz val="12"/>
        <color indexed="8"/>
        <rFont val="宋体"/>
        <charset val="134"/>
      </rPr>
      <t>四、教职工人数</t>
    </r>
  </si>
  <si>
    <r>
      <rPr>
        <sz val="12"/>
        <rFont val="宋体"/>
        <charset val="134"/>
      </rPr>
      <t>数据来源于教职工人数统计表（底稿）</t>
    </r>
  </si>
  <si>
    <r>
      <rPr>
        <sz val="12"/>
        <rFont val="宋体"/>
        <charset val="134"/>
      </rPr>
      <t>（一）在职教职工人数</t>
    </r>
  </si>
  <si>
    <r>
      <rPr>
        <sz val="12"/>
        <rFont val="Times New Roman"/>
        <charset val="134"/>
      </rPr>
      <t>1</t>
    </r>
    <r>
      <rPr>
        <sz val="12"/>
        <rFont val="宋体"/>
        <charset val="134"/>
      </rPr>
      <t>、教学人员</t>
    </r>
  </si>
  <si>
    <r>
      <rPr>
        <sz val="12"/>
        <color rgb="FF000000"/>
        <rFont val="Times New Roman"/>
        <charset val="134"/>
      </rPr>
      <t xml:space="preserve">              </t>
    </r>
    <r>
      <rPr>
        <sz val="12"/>
        <color indexed="8"/>
        <rFont val="宋体"/>
        <charset val="134"/>
      </rPr>
      <t>小学部</t>
    </r>
  </si>
  <si>
    <r>
      <rPr>
        <sz val="12"/>
        <color rgb="FF000000"/>
        <rFont val="Times New Roman"/>
        <charset val="134"/>
      </rPr>
      <t xml:space="preserve">             </t>
    </r>
    <r>
      <rPr>
        <sz val="12"/>
        <color indexed="8"/>
        <rFont val="宋体"/>
        <charset val="134"/>
      </rPr>
      <t>初中部</t>
    </r>
  </si>
  <si>
    <r>
      <rPr>
        <sz val="12"/>
        <color rgb="FF000000"/>
        <rFont val="Times New Roman"/>
        <charset val="134"/>
      </rPr>
      <t xml:space="preserve">             </t>
    </r>
    <r>
      <rPr>
        <sz val="12"/>
        <color indexed="8"/>
        <rFont val="宋体"/>
        <charset val="134"/>
      </rPr>
      <t>高中部</t>
    </r>
  </si>
  <si>
    <t xml:space="preserve">    其中：外籍老师人数</t>
  </si>
  <si>
    <r>
      <rPr>
        <sz val="12"/>
        <rFont val="Times New Roman"/>
        <charset val="134"/>
      </rPr>
      <t>2</t>
    </r>
    <r>
      <rPr>
        <sz val="12"/>
        <rFont val="宋体"/>
        <charset val="134"/>
      </rPr>
      <t>、教学辅助人员</t>
    </r>
  </si>
  <si>
    <r>
      <rPr>
        <sz val="12"/>
        <rFont val="Times New Roman"/>
        <charset val="134"/>
      </rPr>
      <t>3</t>
    </r>
    <r>
      <rPr>
        <sz val="12"/>
        <rFont val="宋体"/>
        <charset val="134"/>
      </rPr>
      <t>、行政管理人员</t>
    </r>
  </si>
  <si>
    <r>
      <rPr>
        <sz val="12"/>
        <rFont val="Times New Roman"/>
        <charset val="134"/>
      </rPr>
      <t>4</t>
    </r>
    <r>
      <rPr>
        <sz val="12"/>
        <rFont val="宋体"/>
        <charset val="134"/>
      </rPr>
      <t>、后勤工作人员</t>
    </r>
  </si>
  <si>
    <r>
      <rPr>
        <sz val="12"/>
        <rFont val="宋体"/>
        <charset val="134"/>
      </rPr>
      <t>（二）其他人员</t>
    </r>
  </si>
  <si>
    <r>
      <rPr>
        <sz val="12"/>
        <rFont val="Times New Roman"/>
        <charset val="134"/>
      </rPr>
      <t xml:space="preserve">    1</t>
    </r>
    <r>
      <rPr>
        <sz val="12"/>
        <rFont val="宋体"/>
        <charset val="134"/>
      </rPr>
      <t>、短期聘用人员</t>
    </r>
  </si>
  <si>
    <r>
      <rPr>
        <sz val="12"/>
        <rFont val="Times New Roman"/>
        <charset val="134"/>
      </rPr>
      <t xml:space="preserve">    2</t>
    </r>
    <r>
      <rPr>
        <sz val="12"/>
        <rFont val="宋体"/>
        <charset val="134"/>
      </rPr>
      <t>、离退休人员</t>
    </r>
  </si>
  <si>
    <r>
      <rPr>
        <sz val="12"/>
        <rFont val="Times New Roman"/>
        <charset val="134"/>
      </rPr>
      <t xml:space="preserve">    3</t>
    </r>
    <r>
      <rPr>
        <sz val="12"/>
        <rFont val="宋体"/>
        <charset val="134"/>
      </rPr>
      <t>、劳务派遣人员</t>
    </r>
  </si>
  <si>
    <r>
      <rPr>
        <sz val="12"/>
        <rFont val="Times New Roman"/>
        <charset val="134"/>
      </rPr>
      <t xml:space="preserve">    4</t>
    </r>
    <r>
      <rPr>
        <sz val="12"/>
        <rFont val="宋体"/>
        <charset val="134"/>
      </rPr>
      <t>、其他临时人员</t>
    </r>
  </si>
  <si>
    <r>
      <rPr>
        <b/>
        <sz val="12"/>
        <rFont val="宋体"/>
        <charset val="134"/>
      </rPr>
      <t>五、固定资产年末总值（元）</t>
    </r>
  </si>
  <si>
    <r>
      <rPr>
        <sz val="12"/>
        <rFont val="Times New Roman"/>
        <charset val="134"/>
      </rPr>
      <t xml:space="preserve">  1.</t>
    </r>
    <r>
      <rPr>
        <sz val="12"/>
        <rFont val="宋体"/>
        <charset val="134"/>
      </rPr>
      <t>房屋及构筑物</t>
    </r>
  </si>
  <si>
    <r>
      <rPr>
        <sz val="12"/>
        <rFont val="Times New Roman"/>
        <charset val="134"/>
      </rPr>
      <t xml:space="preserve">  2.</t>
    </r>
    <r>
      <rPr>
        <sz val="12"/>
        <rFont val="宋体"/>
        <charset val="134"/>
      </rPr>
      <t>通用设备</t>
    </r>
  </si>
  <si>
    <r>
      <rPr>
        <sz val="12"/>
        <rFont val="Times New Roman"/>
        <charset val="134"/>
      </rPr>
      <t xml:space="preserve">  3.</t>
    </r>
    <r>
      <rPr>
        <sz val="12"/>
        <rFont val="宋体"/>
        <charset val="134"/>
      </rPr>
      <t>专用设备</t>
    </r>
  </si>
  <si>
    <r>
      <rPr>
        <sz val="12"/>
        <rFont val="Times New Roman"/>
        <charset val="134"/>
      </rPr>
      <t xml:space="preserve">  4.</t>
    </r>
    <r>
      <rPr>
        <sz val="12"/>
        <rFont val="宋体"/>
        <charset val="134"/>
      </rPr>
      <t>家具、用具及装具</t>
    </r>
  </si>
  <si>
    <r>
      <rPr>
        <sz val="12"/>
        <color rgb="FF000000"/>
        <rFont val="Times New Roman"/>
        <charset val="134"/>
      </rPr>
      <t xml:space="preserve">      5.</t>
    </r>
    <r>
      <rPr>
        <sz val="12"/>
        <color indexed="8"/>
        <rFont val="宋体"/>
        <charset val="134"/>
      </rPr>
      <t>其他固定资产</t>
    </r>
  </si>
  <si>
    <r>
      <rPr>
        <sz val="16"/>
        <rFont val="黑体"/>
        <charset val="134"/>
      </rPr>
      <t>表</t>
    </r>
    <r>
      <rPr>
        <sz val="16"/>
        <rFont val="Times New Roman"/>
        <charset val="134"/>
      </rPr>
      <t>2</t>
    </r>
  </si>
  <si>
    <t>学校收入情况表</t>
  </si>
  <si>
    <t xml:space="preserve">                               </t>
  </si>
  <si>
    <t>项      目</t>
  </si>
  <si>
    <t>2019年</t>
  </si>
  <si>
    <t>2020年</t>
  </si>
  <si>
    <t>2021年</t>
  </si>
  <si>
    <t>一、财政补助收入（元）</t>
  </si>
  <si>
    <t>（一）教育经费拨款</t>
  </si>
  <si>
    <t>其中：离退休人员拨款</t>
  </si>
  <si>
    <t>（二）科研经费拨款</t>
  </si>
  <si>
    <t>（三）其他</t>
  </si>
  <si>
    <t>二、上级补助收入（元）</t>
  </si>
  <si>
    <t>三、事业收入（元）</t>
  </si>
  <si>
    <t>（一）教育事业收入</t>
  </si>
  <si>
    <t>1、学费收入</t>
  </si>
  <si>
    <t>(1)小学生</t>
  </si>
  <si>
    <t>(2)初中生</t>
  </si>
  <si>
    <t>(3)高中生</t>
  </si>
  <si>
    <t>(4)其他</t>
  </si>
  <si>
    <t>2、住宿费收入</t>
  </si>
  <si>
    <t>3、服务费收入</t>
  </si>
  <si>
    <t>4、其他</t>
  </si>
  <si>
    <t>（二）科研事业收入</t>
  </si>
  <si>
    <t>四、经营收入（元）</t>
  </si>
  <si>
    <t>五、附属单位缴款（元）</t>
  </si>
  <si>
    <t>六、其他收入（元）</t>
  </si>
  <si>
    <t>其中：（一）利息收入</t>
  </si>
  <si>
    <t xml:space="preserve">      （二）捐赠收入</t>
  </si>
  <si>
    <r>
      <rPr>
        <sz val="16"/>
        <rFont val="黑体"/>
        <charset val="134"/>
      </rPr>
      <t>表</t>
    </r>
    <r>
      <rPr>
        <sz val="16"/>
        <rFont val="Times New Roman"/>
        <charset val="134"/>
      </rPr>
      <t>3</t>
    </r>
  </si>
  <si>
    <t>学校教育成本归集表</t>
  </si>
  <si>
    <t>单位：元</t>
  </si>
  <si>
    <r>
      <rPr>
        <b/>
        <sz val="12"/>
        <rFont val="宋体"/>
        <charset val="134"/>
      </rPr>
      <t>项</t>
    </r>
    <r>
      <rPr>
        <b/>
        <sz val="12"/>
        <rFont val="Times New Roman"/>
        <charset val="134"/>
      </rPr>
      <t xml:space="preserve">  </t>
    </r>
    <r>
      <rPr>
        <b/>
        <sz val="12"/>
        <rFont val="宋体"/>
        <charset val="134"/>
      </rPr>
      <t>目</t>
    </r>
  </si>
  <si>
    <r>
      <rPr>
        <b/>
        <sz val="12"/>
        <rFont val="Times New Roman"/>
        <charset val="134"/>
      </rPr>
      <t>2019</t>
    </r>
    <r>
      <rPr>
        <b/>
        <sz val="12"/>
        <rFont val="宋体"/>
        <charset val="134"/>
      </rPr>
      <t>年上报数</t>
    </r>
  </si>
  <si>
    <r>
      <rPr>
        <b/>
        <sz val="12"/>
        <rFont val="宋体"/>
        <charset val="134"/>
      </rPr>
      <t>核增（减）</t>
    </r>
  </si>
  <si>
    <r>
      <rPr>
        <b/>
        <sz val="12"/>
        <rFont val="Times New Roman"/>
        <charset val="134"/>
      </rPr>
      <t>2019</t>
    </r>
    <r>
      <rPr>
        <b/>
        <sz val="12"/>
        <rFont val="宋体"/>
        <charset val="134"/>
      </rPr>
      <t>年核定数</t>
    </r>
  </si>
  <si>
    <r>
      <rPr>
        <b/>
        <sz val="12"/>
        <rFont val="Times New Roman"/>
        <charset val="134"/>
      </rPr>
      <t>2020</t>
    </r>
    <r>
      <rPr>
        <b/>
        <sz val="12"/>
        <rFont val="宋体"/>
        <charset val="134"/>
      </rPr>
      <t>年上报数</t>
    </r>
  </si>
  <si>
    <r>
      <rPr>
        <b/>
        <sz val="12"/>
        <rFont val="Times New Roman"/>
        <charset val="134"/>
      </rPr>
      <t>2020</t>
    </r>
    <r>
      <rPr>
        <b/>
        <sz val="12"/>
        <rFont val="宋体"/>
        <charset val="134"/>
      </rPr>
      <t>年核定数</t>
    </r>
  </si>
  <si>
    <r>
      <rPr>
        <b/>
        <sz val="12"/>
        <rFont val="Times New Roman"/>
        <charset val="134"/>
      </rPr>
      <t>2021</t>
    </r>
    <r>
      <rPr>
        <b/>
        <sz val="12"/>
        <rFont val="宋体"/>
        <charset val="134"/>
      </rPr>
      <t>年上报数</t>
    </r>
  </si>
  <si>
    <r>
      <rPr>
        <b/>
        <sz val="12"/>
        <rFont val="Times New Roman"/>
        <charset val="134"/>
      </rPr>
      <t>2021</t>
    </r>
    <r>
      <rPr>
        <b/>
        <sz val="12"/>
        <rFont val="宋体"/>
        <charset val="134"/>
      </rPr>
      <t>年核定数</t>
    </r>
  </si>
  <si>
    <t>一、工资福利支出</t>
  </si>
  <si>
    <r>
      <rPr>
        <sz val="12"/>
        <rFont val="Times New Roman"/>
        <charset val="134"/>
      </rPr>
      <t xml:space="preserve">  1.</t>
    </r>
    <r>
      <rPr>
        <sz val="12"/>
        <rFont val="宋体"/>
        <charset val="134"/>
      </rPr>
      <t>基本工资</t>
    </r>
  </si>
  <si>
    <r>
      <rPr>
        <sz val="12"/>
        <rFont val="Times New Roman"/>
        <charset val="134"/>
      </rPr>
      <t xml:space="preserve">  2.</t>
    </r>
    <r>
      <rPr>
        <sz val="12"/>
        <rFont val="宋体"/>
        <charset val="134"/>
      </rPr>
      <t>津贴</t>
    </r>
  </si>
  <si>
    <r>
      <rPr>
        <sz val="12"/>
        <rFont val="Times New Roman"/>
        <charset val="134"/>
      </rPr>
      <t xml:space="preserve">  3.</t>
    </r>
    <r>
      <rPr>
        <sz val="12"/>
        <rFont val="宋体"/>
        <charset val="134"/>
      </rPr>
      <t>奖金</t>
    </r>
  </si>
  <si>
    <r>
      <rPr>
        <sz val="12"/>
        <rFont val="Times New Roman"/>
        <charset val="134"/>
      </rPr>
      <t xml:space="preserve">  4.</t>
    </r>
    <r>
      <rPr>
        <sz val="12"/>
        <rFont val="宋体"/>
        <charset val="134"/>
      </rPr>
      <t>社会保险费</t>
    </r>
  </si>
  <si>
    <r>
      <rPr>
        <sz val="12"/>
        <rFont val="Times New Roman"/>
        <charset val="134"/>
      </rPr>
      <t xml:space="preserve">  5.</t>
    </r>
    <r>
      <rPr>
        <sz val="12"/>
        <rFont val="宋体"/>
        <charset val="134"/>
      </rPr>
      <t>住房公积金</t>
    </r>
  </si>
  <si>
    <r>
      <rPr>
        <sz val="12"/>
        <rFont val="Times New Roman"/>
        <charset val="134"/>
      </rPr>
      <t xml:space="preserve">  6.</t>
    </r>
    <r>
      <rPr>
        <sz val="12"/>
        <rFont val="宋体"/>
        <charset val="134"/>
      </rPr>
      <t>其他</t>
    </r>
  </si>
  <si>
    <t>二、商品和服务支出</t>
  </si>
  <si>
    <r>
      <rPr>
        <sz val="12"/>
        <color indexed="8"/>
        <rFont val="Times New Roman"/>
        <charset val="134"/>
      </rPr>
      <t xml:space="preserve">    1.</t>
    </r>
    <r>
      <rPr>
        <sz val="12"/>
        <color indexed="8"/>
        <rFont val="宋体"/>
        <charset val="134"/>
      </rPr>
      <t>办公费</t>
    </r>
  </si>
  <si>
    <r>
      <rPr>
        <sz val="12"/>
        <color indexed="8"/>
        <rFont val="Times New Roman"/>
        <charset val="134"/>
      </rPr>
      <t xml:space="preserve">    2.</t>
    </r>
    <r>
      <rPr>
        <sz val="12"/>
        <color indexed="8"/>
        <rFont val="宋体"/>
        <charset val="134"/>
      </rPr>
      <t>印刷费</t>
    </r>
  </si>
  <si>
    <r>
      <rPr>
        <sz val="12"/>
        <color indexed="8"/>
        <rFont val="Times New Roman"/>
        <charset val="134"/>
      </rPr>
      <t xml:space="preserve">    3.</t>
    </r>
    <r>
      <rPr>
        <sz val="12"/>
        <color indexed="8"/>
        <rFont val="宋体"/>
        <charset val="134"/>
      </rPr>
      <t>咨询费</t>
    </r>
  </si>
  <si>
    <r>
      <rPr>
        <sz val="12"/>
        <color indexed="8"/>
        <rFont val="Times New Roman"/>
        <charset val="134"/>
      </rPr>
      <t xml:space="preserve">    4.</t>
    </r>
    <r>
      <rPr>
        <sz val="12"/>
        <color indexed="8"/>
        <rFont val="宋体"/>
        <charset val="134"/>
      </rPr>
      <t>手续费</t>
    </r>
  </si>
  <si>
    <r>
      <rPr>
        <sz val="12"/>
        <color indexed="8"/>
        <rFont val="Times New Roman"/>
        <charset val="134"/>
      </rPr>
      <t xml:space="preserve">    5.</t>
    </r>
    <r>
      <rPr>
        <sz val="12"/>
        <color indexed="8"/>
        <rFont val="宋体"/>
        <charset val="134"/>
      </rPr>
      <t>水费</t>
    </r>
  </si>
  <si>
    <r>
      <rPr>
        <sz val="12"/>
        <color indexed="8"/>
        <rFont val="Times New Roman"/>
        <charset val="134"/>
      </rPr>
      <t xml:space="preserve">    6.</t>
    </r>
    <r>
      <rPr>
        <sz val="12"/>
        <color indexed="8"/>
        <rFont val="宋体"/>
        <charset val="134"/>
      </rPr>
      <t>电费</t>
    </r>
  </si>
  <si>
    <r>
      <rPr>
        <sz val="12"/>
        <color indexed="8"/>
        <rFont val="Times New Roman"/>
        <charset val="134"/>
      </rPr>
      <t xml:space="preserve">    7.</t>
    </r>
    <r>
      <rPr>
        <sz val="12"/>
        <color indexed="8"/>
        <rFont val="宋体"/>
        <charset val="134"/>
      </rPr>
      <t>邮电费</t>
    </r>
  </si>
  <si>
    <r>
      <rPr>
        <sz val="12"/>
        <color rgb="FF000000"/>
        <rFont val="Times New Roman"/>
        <charset val="134"/>
      </rPr>
      <t xml:space="preserve">    8.</t>
    </r>
    <r>
      <rPr>
        <sz val="12"/>
        <color rgb="FF000000"/>
        <rFont val="宋体"/>
        <charset val="134"/>
      </rPr>
      <t>广告费</t>
    </r>
  </si>
  <si>
    <r>
      <rPr>
        <sz val="12"/>
        <color indexed="8"/>
        <rFont val="Times New Roman"/>
        <charset val="134"/>
      </rPr>
      <t xml:space="preserve">    9.</t>
    </r>
    <r>
      <rPr>
        <sz val="12"/>
        <color indexed="8"/>
        <rFont val="宋体"/>
        <charset val="134"/>
      </rPr>
      <t>差旅费</t>
    </r>
  </si>
  <si>
    <t xml:space="preserve">  10.活动费</t>
  </si>
  <si>
    <r>
      <rPr>
        <sz val="12"/>
        <color indexed="8"/>
        <rFont val="Times New Roman"/>
        <charset val="134"/>
      </rPr>
      <t xml:space="preserve">    11.</t>
    </r>
    <r>
      <rPr>
        <sz val="12"/>
        <color indexed="8"/>
        <rFont val="宋体"/>
        <charset val="134"/>
      </rPr>
      <t>维修（护）费</t>
    </r>
  </si>
  <si>
    <r>
      <rPr>
        <sz val="12"/>
        <color rgb="FF000000"/>
        <rFont val="Times New Roman"/>
        <charset val="134"/>
      </rPr>
      <t xml:space="preserve">    12.</t>
    </r>
    <r>
      <rPr>
        <sz val="12"/>
        <color rgb="FF000000"/>
        <rFont val="宋体"/>
        <charset val="134"/>
      </rPr>
      <t>学生用品</t>
    </r>
  </si>
  <si>
    <r>
      <rPr>
        <sz val="12"/>
        <color indexed="8"/>
        <rFont val="Times New Roman"/>
        <charset val="134"/>
      </rPr>
      <t xml:space="preserve">    13.</t>
    </r>
    <r>
      <rPr>
        <sz val="12"/>
        <color indexed="8"/>
        <rFont val="宋体"/>
        <charset val="134"/>
      </rPr>
      <t>会议费</t>
    </r>
  </si>
  <si>
    <r>
      <rPr>
        <sz val="12"/>
        <color indexed="8"/>
        <rFont val="Times New Roman"/>
        <charset val="134"/>
      </rPr>
      <t xml:space="preserve">    14.</t>
    </r>
    <r>
      <rPr>
        <sz val="12"/>
        <color indexed="8"/>
        <rFont val="宋体"/>
        <charset val="134"/>
      </rPr>
      <t>培训费</t>
    </r>
  </si>
  <si>
    <r>
      <rPr>
        <sz val="12"/>
        <color indexed="8"/>
        <rFont val="Times New Roman"/>
        <charset val="134"/>
      </rPr>
      <t xml:space="preserve">    15.</t>
    </r>
    <r>
      <rPr>
        <sz val="12"/>
        <color indexed="8"/>
        <rFont val="宋体"/>
        <charset val="134"/>
      </rPr>
      <t>公务接待费</t>
    </r>
  </si>
  <si>
    <r>
      <rPr>
        <sz val="12"/>
        <color indexed="8"/>
        <rFont val="Times New Roman"/>
        <charset val="134"/>
      </rPr>
      <t xml:space="preserve">    16.</t>
    </r>
    <r>
      <rPr>
        <sz val="12"/>
        <color indexed="8"/>
        <rFont val="宋体"/>
        <charset val="134"/>
      </rPr>
      <t>专用材料费</t>
    </r>
  </si>
  <si>
    <r>
      <rPr>
        <sz val="12"/>
        <color indexed="8"/>
        <rFont val="Times New Roman"/>
        <charset val="134"/>
      </rPr>
      <t xml:space="preserve">    17.</t>
    </r>
    <r>
      <rPr>
        <sz val="12"/>
        <color indexed="8"/>
        <rFont val="宋体"/>
        <charset val="134"/>
      </rPr>
      <t>劳务费</t>
    </r>
  </si>
  <si>
    <r>
      <rPr>
        <sz val="12"/>
        <color indexed="8"/>
        <rFont val="Times New Roman"/>
        <charset val="134"/>
      </rPr>
      <t xml:space="preserve">    18.</t>
    </r>
    <r>
      <rPr>
        <sz val="12"/>
        <color indexed="8"/>
        <rFont val="宋体"/>
        <charset val="134"/>
      </rPr>
      <t>委托业务费</t>
    </r>
  </si>
  <si>
    <r>
      <rPr>
        <sz val="12"/>
        <color indexed="8"/>
        <rFont val="Times New Roman"/>
        <charset val="134"/>
      </rPr>
      <t xml:space="preserve">    19.</t>
    </r>
    <r>
      <rPr>
        <sz val="12"/>
        <color indexed="8"/>
        <rFont val="宋体"/>
        <charset val="134"/>
      </rPr>
      <t>工会经费</t>
    </r>
  </si>
  <si>
    <r>
      <rPr>
        <sz val="12"/>
        <color indexed="8"/>
        <rFont val="Times New Roman"/>
        <charset val="134"/>
      </rPr>
      <t xml:space="preserve">    20.</t>
    </r>
    <r>
      <rPr>
        <sz val="12"/>
        <color indexed="8"/>
        <rFont val="宋体"/>
        <charset val="134"/>
      </rPr>
      <t>福利费</t>
    </r>
  </si>
  <si>
    <r>
      <rPr>
        <sz val="12"/>
        <color rgb="FF000000"/>
        <rFont val="Times New Roman"/>
        <charset val="134"/>
      </rPr>
      <t xml:space="preserve">    21.</t>
    </r>
    <r>
      <rPr>
        <sz val="12"/>
        <color rgb="FF000000"/>
        <rFont val="宋体"/>
        <charset val="134"/>
      </rPr>
      <t>赔偿及赞助</t>
    </r>
  </si>
  <si>
    <r>
      <rPr>
        <sz val="12"/>
        <color indexed="8"/>
        <rFont val="Times New Roman"/>
        <charset val="134"/>
      </rPr>
      <t xml:space="preserve">    22.</t>
    </r>
    <r>
      <rPr>
        <sz val="12"/>
        <color indexed="8"/>
        <rFont val="宋体"/>
        <charset val="134"/>
      </rPr>
      <t>其他交通费用</t>
    </r>
  </si>
  <si>
    <r>
      <rPr>
        <sz val="12"/>
        <color indexed="8"/>
        <rFont val="Times New Roman"/>
        <charset val="134"/>
      </rPr>
      <t xml:space="preserve">    23.</t>
    </r>
    <r>
      <rPr>
        <sz val="12"/>
        <color indexed="8"/>
        <rFont val="宋体"/>
        <charset val="134"/>
      </rPr>
      <t>税金及附加费用</t>
    </r>
  </si>
  <si>
    <r>
      <rPr>
        <sz val="12"/>
        <color indexed="8"/>
        <rFont val="Times New Roman"/>
        <charset val="134"/>
      </rPr>
      <t xml:space="preserve">    24.</t>
    </r>
    <r>
      <rPr>
        <sz val="12"/>
        <color indexed="8"/>
        <rFont val="宋体"/>
        <charset val="134"/>
      </rPr>
      <t>其他商品和服务支出</t>
    </r>
  </si>
  <si>
    <t>三、对个人和家庭的补助</t>
  </si>
  <si>
    <r>
      <rPr>
        <sz val="12"/>
        <color indexed="8"/>
        <rFont val="Times New Roman"/>
        <charset val="134"/>
      </rPr>
      <t xml:space="preserve">    1.</t>
    </r>
    <r>
      <rPr>
        <sz val="12"/>
        <color indexed="8"/>
        <rFont val="宋体"/>
        <charset val="134"/>
      </rPr>
      <t>离休费</t>
    </r>
  </si>
  <si>
    <r>
      <rPr>
        <sz val="12"/>
        <color indexed="8"/>
        <rFont val="Times New Roman"/>
        <charset val="134"/>
      </rPr>
      <t xml:space="preserve">    2.</t>
    </r>
    <r>
      <rPr>
        <sz val="12"/>
        <color indexed="8"/>
        <rFont val="宋体"/>
        <charset val="134"/>
      </rPr>
      <t>抚恤金</t>
    </r>
  </si>
  <si>
    <r>
      <rPr>
        <sz val="12"/>
        <color indexed="8"/>
        <rFont val="Times New Roman"/>
        <charset val="134"/>
      </rPr>
      <t xml:space="preserve">    3.</t>
    </r>
    <r>
      <rPr>
        <sz val="12"/>
        <color indexed="8"/>
        <rFont val="宋体"/>
        <charset val="134"/>
      </rPr>
      <t>生活补助</t>
    </r>
  </si>
  <si>
    <r>
      <rPr>
        <sz val="12"/>
        <color indexed="8"/>
        <rFont val="Times New Roman"/>
        <charset val="134"/>
      </rPr>
      <t xml:space="preserve">    4.</t>
    </r>
    <r>
      <rPr>
        <sz val="12"/>
        <color indexed="8"/>
        <rFont val="宋体"/>
        <charset val="134"/>
      </rPr>
      <t>医疗费补助</t>
    </r>
  </si>
  <si>
    <r>
      <rPr>
        <sz val="12"/>
        <color indexed="8"/>
        <rFont val="Times New Roman"/>
        <charset val="134"/>
      </rPr>
      <t xml:space="preserve">    5.</t>
    </r>
    <r>
      <rPr>
        <sz val="12"/>
        <color indexed="8"/>
        <rFont val="宋体"/>
        <charset val="134"/>
      </rPr>
      <t>助学金</t>
    </r>
  </si>
  <si>
    <r>
      <rPr>
        <sz val="12"/>
        <color indexed="8"/>
        <rFont val="Times New Roman"/>
        <charset val="134"/>
      </rPr>
      <t xml:space="preserve">    6.</t>
    </r>
    <r>
      <rPr>
        <sz val="12"/>
        <color indexed="8"/>
        <rFont val="宋体"/>
        <charset val="134"/>
      </rPr>
      <t>其他对个人和家庭的补助支出</t>
    </r>
  </si>
  <si>
    <t>四、固定资产折旧（元）</t>
  </si>
  <si>
    <r>
      <rPr>
        <sz val="12"/>
        <color indexed="8"/>
        <rFont val="Times New Roman"/>
        <charset val="134"/>
      </rPr>
      <t xml:space="preserve">    5.</t>
    </r>
    <r>
      <rPr>
        <sz val="12"/>
        <color indexed="8"/>
        <rFont val="宋体"/>
        <charset val="134"/>
      </rPr>
      <t>其他固定资产</t>
    </r>
  </si>
  <si>
    <r>
      <rPr>
        <b/>
        <sz val="12"/>
        <rFont val="宋体"/>
        <charset val="134"/>
      </rPr>
      <t>五、无形资产摊销</t>
    </r>
  </si>
  <si>
    <t>六、财务费用</t>
  </si>
  <si>
    <r>
      <rPr>
        <sz val="12"/>
        <rFont val="Times New Roman"/>
        <charset val="134"/>
      </rPr>
      <t xml:space="preserve">    1.</t>
    </r>
    <r>
      <rPr>
        <sz val="12"/>
        <rFont val="宋体"/>
        <charset val="134"/>
      </rPr>
      <t>利息支出</t>
    </r>
  </si>
  <si>
    <r>
      <rPr>
        <sz val="12"/>
        <rFont val="Times New Roman"/>
        <charset val="134"/>
      </rPr>
      <t xml:space="preserve">    2.</t>
    </r>
    <r>
      <rPr>
        <sz val="12"/>
        <rFont val="宋体"/>
        <charset val="134"/>
      </rPr>
      <t>利息收入</t>
    </r>
  </si>
  <si>
    <r>
      <rPr>
        <sz val="12"/>
        <rFont val="Times New Roman"/>
        <charset val="134"/>
      </rPr>
      <t xml:space="preserve">    3.</t>
    </r>
    <r>
      <rPr>
        <sz val="12"/>
        <rFont val="宋体"/>
        <charset val="134"/>
      </rPr>
      <t>手续费</t>
    </r>
  </si>
  <si>
    <t>七、学校总支出</t>
  </si>
  <si>
    <r>
      <rPr>
        <sz val="16"/>
        <rFont val="黑体"/>
        <charset val="134"/>
      </rPr>
      <t>表</t>
    </r>
    <r>
      <rPr>
        <sz val="16"/>
        <rFont val="Times New Roman"/>
        <charset val="134"/>
      </rPr>
      <t>4</t>
    </r>
  </si>
  <si>
    <t>学校教育培养成本核定表</t>
  </si>
  <si>
    <t>项目　</t>
  </si>
  <si>
    <r>
      <rPr>
        <b/>
        <sz val="12"/>
        <rFont val="Times New Roman"/>
        <charset val="134"/>
      </rPr>
      <t>2019</t>
    </r>
    <r>
      <rPr>
        <b/>
        <sz val="12"/>
        <rFont val="宋体"/>
        <charset val="134"/>
      </rPr>
      <t>年</t>
    </r>
  </si>
  <si>
    <r>
      <rPr>
        <b/>
        <sz val="12"/>
        <rFont val="宋体"/>
        <charset val="134"/>
      </rPr>
      <t>一、学校基本情况</t>
    </r>
    <r>
      <rPr>
        <b/>
        <sz val="12"/>
        <rFont val="Times New Roman"/>
        <charset val="134"/>
      </rPr>
      <t xml:space="preserve"> </t>
    </r>
  </si>
  <si>
    <r>
      <rPr>
        <sz val="12"/>
        <rFont val="Times New Roman"/>
        <charset val="134"/>
      </rPr>
      <t xml:space="preserve">    (</t>
    </r>
    <r>
      <rPr>
        <sz val="12"/>
        <rFont val="宋体"/>
        <charset val="134"/>
      </rPr>
      <t>一</t>
    </r>
    <r>
      <rPr>
        <sz val="12"/>
        <rFont val="Times New Roman"/>
        <charset val="134"/>
      </rPr>
      <t xml:space="preserve">) </t>
    </r>
    <r>
      <rPr>
        <sz val="12"/>
        <rFont val="宋体"/>
        <charset val="134"/>
      </rPr>
      <t>标准学生人数</t>
    </r>
    <r>
      <rPr>
        <sz val="12"/>
        <rFont val="Times New Roman"/>
        <charset val="134"/>
      </rPr>
      <t>(</t>
    </r>
    <r>
      <rPr>
        <sz val="12"/>
        <rFont val="宋体"/>
        <charset val="134"/>
      </rPr>
      <t>人</t>
    </r>
    <r>
      <rPr>
        <sz val="12"/>
        <rFont val="Times New Roman"/>
        <charset val="134"/>
      </rPr>
      <t>)</t>
    </r>
  </si>
  <si>
    <r>
      <rPr>
        <sz val="12"/>
        <rFont val="Times New Roman"/>
        <charset val="134"/>
      </rPr>
      <t xml:space="preserve">    (</t>
    </r>
    <r>
      <rPr>
        <sz val="12"/>
        <rFont val="宋体"/>
        <charset val="134"/>
      </rPr>
      <t>二</t>
    </r>
    <r>
      <rPr>
        <sz val="12"/>
        <rFont val="Times New Roman"/>
        <charset val="134"/>
      </rPr>
      <t>)</t>
    </r>
    <r>
      <rPr>
        <sz val="12"/>
        <rFont val="宋体"/>
        <charset val="134"/>
      </rPr>
      <t>教职工总数</t>
    </r>
    <r>
      <rPr>
        <sz val="12"/>
        <rFont val="Times New Roman"/>
        <charset val="134"/>
      </rPr>
      <t>(</t>
    </r>
    <r>
      <rPr>
        <sz val="12"/>
        <rFont val="宋体"/>
        <charset val="134"/>
      </rPr>
      <t>人</t>
    </r>
    <r>
      <rPr>
        <sz val="12"/>
        <rFont val="Times New Roman"/>
        <charset val="134"/>
      </rPr>
      <t xml:space="preserve">) </t>
    </r>
    <r>
      <rPr>
        <sz val="12"/>
        <rFont val="宋体"/>
        <charset val="134"/>
      </rPr>
      <t>　　</t>
    </r>
    <r>
      <rPr>
        <sz val="12"/>
        <rFont val="Times New Roman"/>
        <charset val="134"/>
      </rPr>
      <t xml:space="preserve"> </t>
    </r>
  </si>
  <si>
    <t>二、行政人员比例</t>
  </si>
  <si>
    <r>
      <rPr>
        <sz val="12"/>
        <rFont val="宋体"/>
        <charset val="134"/>
      </rPr>
      <t>行政管理人员占在职教职工总数的比重</t>
    </r>
    <r>
      <rPr>
        <sz val="12"/>
        <rFont val="Times New Roman"/>
        <charset val="134"/>
      </rPr>
      <t xml:space="preserve"> (%)</t>
    </r>
  </si>
  <si>
    <t>三、师生比</t>
  </si>
  <si>
    <r>
      <rPr>
        <sz val="12"/>
        <rFont val="Times New Roman"/>
        <charset val="134"/>
      </rPr>
      <t xml:space="preserve"> </t>
    </r>
    <r>
      <rPr>
        <sz val="12"/>
        <rFont val="宋体"/>
        <charset val="134"/>
      </rPr>
      <t>　　</t>
    </r>
    <r>
      <rPr>
        <sz val="12"/>
        <rFont val="Times New Roman"/>
        <charset val="134"/>
      </rPr>
      <t>(</t>
    </r>
    <r>
      <rPr>
        <sz val="12"/>
        <rFont val="宋体"/>
        <charset val="134"/>
      </rPr>
      <t>一</t>
    </r>
    <r>
      <rPr>
        <sz val="12"/>
        <rFont val="Times New Roman"/>
        <charset val="134"/>
      </rPr>
      <t>)</t>
    </r>
    <r>
      <rPr>
        <sz val="12"/>
        <rFont val="宋体"/>
        <charset val="134"/>
      </rPr>
      <t>小学师生比</t>
    </r>
  </si>
  <si>
    <r>
      <rPr>
        <sz val="12"/>
        <rFont val="Times New Roman"/>
        <charset val="134"/>
      </rPr>
      <t xml:space="preserve"> </t>
    </r>
    <r>
      <rPr>
        <sz val="12"/>
        <rFont val="宋体"/>
        <charset val="134"/>
      </rPr>
      <t>　　</t>
    </r>
    <r>
      <rPr>
        <sz val="12"/>
        <rFont val="Times New Roman"/>
        <charset val="134"/>
      </rPr>
      <t>(</t>
    </r>
    <r>
      <rPr>
        <sz val="12"/>
        <rFont val="宋体"/>
        <charset val="134"/>
      </rPr>
      <t>二</t>
    </r>
    <r>
      <rPr>
        <sz val="12"/>
        <rFont val="Times New Roman"/>
        <charset val="134"/>
      </rPr>
      <t>)</t>
    </r>
    <r>
      <rPr>
        <sz val="12"/>
        <rFont val="宋体"/>
        <charset val="134"/>
      </rPr>
      <t>初中师生比</t>
    </r>
  </si>
  <si>
    <r>
      <rPr>
        <sz val="12"/>
        <rFont val="Times New Roman"/>
        <charset val="134"/>
      </rPr>
      <t xml:space="preserve"> </t>
    </r>
    <r>
      <rPr>
        <sz val="12"/>
        <rFont val="宋体"/>
        <charset val="134"/>
      </rPr>
      <t>　　</t>
    </r>
    <r>
      <rPr>
        <sz val="12"/>
        <rFont val="Times New Roman"/>
        <charset val="134"/>
      </rPr>
      <t>(</t>
    </r>
    <r>
      <rPr>
        <sz val="12"/>
        <rFont val="宋体"/>
        <charset val="134"/>
      </rPr>
      <t>三</t>
    </r>
    <r>
      <rPr>
        <sz val="12"/>
        <rFont val="Times New Roman"/>
        <charset val="134"/>
      </rPr>
      <t>)</t>
    </r>
    <r>
      <rPr>
        <sz val="12"/>
        <rFont val="宋体"/>
        <charset val="134"/>
      </rPr>
      <t>高中师生比</t>
    </r>
  </si>
  <si>
    <r>
      <rPr>
        <b/>
        <sz val="12"/>
        <rFont val="宋体"/>
        <charset val="134"/>
      </rPr>
      <t>四、教育培养总成本</t>
    </r>
    <r>
      <rPr>
        <b/>
        <sz val="12"/>
        <rFont val="Times New Roman"/>
        <charset val="134"/>
      </rPr>
      <t>(</t>
    </r>
    <r>
      <rPr>
        <b/>
        <sz val="12"/>
        <rFont val="宋体"/>
        <charset val="134"/>
      </rPr>
      <t>元</t>
    </r>
    <r>
      <rPr>
        <b/>
        <sz val="12"/>
        <rFont val="Times New Roman"/>
        <charset val="134"/>
      </rPr>
      <t xml:space="preserve">)  </t>
    </r>
  </si>
  <si>
    <r>
      <rPr>
        <sz val="12"/>
        <rFont val="Times New Roman"/>
        <charset val="134"/>
      </rPr>
      <t xml:space="preserve"> </t>
    </r>
    <r>
      <rPr>
        <sz val="12"/>
        <rFont val="宋体"/>
        <charset val="134"/>
      </rPr>
      <t>　　</t>
    </r>
    <r>
      <rPr>
        <sz val="12"/>
        <rFont val="Times New Roman"/>
        <charset val="134"/>
      </rPr>
      <t>(</t>
    </r>
    <r>
      <rPr>
        <sz val="12"/>
        <rFont val="宋体"/>
        <charset val="134"/>
      </rPr>
      <t>一</t>
    </r>
    <r>
      <rPr>
        <sz val="12"/>
        <rFont val="Times New Roman"/>
        <charset val="134"/>
      </rPr>
      <t>)</t>
    </r>
    <r>
      <rPr>
        <sz val="12"/>
        <rFont val="宋体"/>
        <charset val="134"/>
      </rPr>
      <t>工资福利支出　　　</t>
    </r>
    <r>
      <rPr>
        <sz val="12"/>
        <rFont val="Times New Roman"/>
        <charset val="134"/>
      </rPr>
      <t xml:space="preserve"> </t>
    </r>
  </si>
  <si>
    <r>
      <rPr>
        <sz val="12"/>
        <rFont val="Times New Roman"/>
        <charset val="134"/>
      </rPr>
      <t xml:space="preserve"> </t>
    </r>
    <r>
      <rPr>
        <sz val="12"/>
        <rFont val="宋体"/>
        <charset val="134"/>
      </rPr>
      <t>　　</t>
    </r>
    <r>
      <rPr>
        <sz val="12"/>
        <rFont val="Times New Roman"/>
        <charset val="134"/>
      </rPr>
      <t>(</t>
    </r>
    <r>
      <rPr>
        <sz val="12"/>
        <rFont val="宋体"/>
        <charset val="134"/>
      </rPr>
      <t>二</t>
    </r>
    <r>
      <rPr>
        <sz val="12"/>
        <rFont val="Times New Roman"/>
        <charset val="134"/>
      </rPr>
      <t>)</t>
    </r>
    <r>
      <rPr>
        <sz val="12"/>
        <rFont val="宋体"/>
        <charset val="134"/>
      </rPr>
      <t>商品和服务支出</t>
    </r>
  </si>
  <si>
    <r>
      <rPr>
        <sz val="12"/>
        <rFont val="Times New Roman"/>
        <charset val="134"/>
      </rPr>
      <t xml:space="preserve"> </t>
    </r>
    <r>
      <rPr>
        <sz val="12"/>
        <rFont val="宋体"/>
        <charset val="134"/>
      </rPr>
      <t>　　</t>
    </r>
    <r>
      <rPr>
        <sz val="12"/>
        <rFont val="Times New Roman"/>
        <charset val="134"/>
      </rPr>
      <t>(</t>
    </r>
    <r>
      <rPr>
        <sz val="12"/>
        <rFont val="宋体"/>
        <charset val="134"/>
      </rPr>
      <t>三</t>
    </r>
    <r>
      <rPr>
        <sz val="12"/>
        <rFont val="Times New Roman"/>
        <charset val="134"/>
      </rPr>
      <t>)</t>
    </r>
    <r>
      <rPr>
        <sz val="12"/>
        <rFont val="宋体"/>
        <charset val="134"/>
      </rPr>
      <t>对个人家庭补助支出　　</t>
    </r>
    <r>
      <rPr>
        <sz val="12"/>
        <rFont val="Times New Roman"/>
        <charset val="134"/>
      </rPr>
      <t xml:space="preserve"> </t>
    </r>
    <r>
      <rPr>
        <sz val="12"/>
        <rFont val="宋体"/>
        <charset val="134"/>
      </rPr>
      <t>　　　　</t>
    </r>
    <r>
      <rPr>
        <sz val="12"/>
        <rFont val="Times New Roman"/>
        <charset val="134"/>
      </rPr>
      <t xml:space="preserve"> </t>
    </r>
  </si>
  <si>
    <r>
      <rPr>
        <sz val="12"/>
        <rFont val="Times New Roman"/>
        <charset val="134"/>
      </rPr>
      <t xml:space="preserve"> </t>
    </r>
    <r>
      <rPr>
        <sz val="12"/>
        <rFont val="宋体"/>
        <charset val="134"/>
      </rPr>
      <t>　　</t>
    </r>
    <r>
      <rPr>
        <sz val="12"/>
        <rFont val="Times New Roman"/>
        <charset val="134"/>
      </rPr>
      <t>(</t>
    </r>
    <r>
      <rPr>
        <sz val="12"/>
        <rFont val="宋体"/>
        <charset val="134"/>
      </rPr>
      <t>四</t>
    </r>
    <r>
      <rPr>
        <sz val="12"/>
        <rFont val="Times New Roman"/>
        <charset val="134"/>
      </rPr>
      <t>)</t>
    </r>
    <r>
      <rPr>
        <sz val="12"/>
        <rFont val="宋体"/>
        <charset val="134"/>
      </rPr>
      <t>固定资产折旧</t>
    </r>
  </si>
  <si>
    <r>
      <rPr>
        <sz val="12"/>
        <rFont val="Times New Roman"/>
        <charset val="134"/>
      </rPr>
      <t xml:space="preserve">       </t>
    </r>
    <r>
      <rPr>
        <sz val="12"/>
        <rFont val="宋体"/>
        <charset val="134"/>
      </rPr>
      <t>（五）无形资产摊销</t>
    </r>
  </si>
  <si>
    <r>
      <rPr>
        <sz val="12"/>
        <rFont val="Times New Roman"/>
        <charset val="134"/>
      </rPr>
      <t xml:space="preserve">       </t>
    </r>
    <r>
      <rPr>
        <sz val="12"/>
        <rFont val="宋体"/>
        <charset val="134"/>
      </rPr>
      <t>（六）财务费用</t>
    </r>
  </si>
  <si>
    <t>五、应冲减成本的收入（元）</t>
  </si>
  <si>
    <t>六、核定教育培养总成本（元）</t>
  </si>
  <si>
    <r>
      <rPr>
        <b/>
        <sz val="12"/>
        <rFont val="宋体"/>
        <charset val="134"/>
      </rPr>
      <t>七、生均教育培养成本</t>
    </r>
    <r>
      <rPr>
        <b/>
        <sz val="12"/>
        <rFont val="Times New Roman"/>
        <charset val="134"/>
      </rPr>
      <t>(</t>
    </r>
    <r>
      <rPr>
        <b/>
        <sz val="12"/>
        <rFont val="宋体"/>
        <charset val="134"/>
      </rPr>
      <t>元／生</t>
    </r>
    <r>
      <rPr>
        <b/>
        <sz val="12"/>
        <rFont val="Times New Roman"/>
        <charset val="134"/>
      </rPr>
      <t>·</t>
    </r>
    <r>
      <rPr>
        <b/>
        <sz val="12"/>
        <rFont val="宋体"/>
        <charset val="134"/>
      </rPr>
      <t>年</t>
    </r>
    <r>
      <rPr>
        <b/>
        <sz val="12"/>
        <rFont val="Times New Roman"/>
        <charset val="134"/>
      </rPr>
      <t xml:space="preserve">) </t>
    </r>
  </si>
  <si>
    <r>
      <rPr>
        <sz val="12"/>
        <rFont val="Times New Roman"/>
        <charset val="134"/>
      </rPr>
      <t xml:space="preserve">    </t>
    </r>
    <r>
      <rPr>
        <sz val="12"/>
        <rFont val="宋体"/>
        <charset val="134"/>
      </rPr>
      <t>小学生均教育培养成本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</si>
  <si>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t xml:space="preserve">三年平均教育培养成本(元／生·年) </t>
  </si>
  <si>
    <t>伯爵小学学生人数核定表</t>
  </si>
  <si>
    <r>
      <rPr>
        <b/>
        <sz val="12"/>
        <color indexed="8"/>
        <rFont val="宋体"/>
        <charset val="134"/>
      </rPr>
      <t>学部</t>
    </r>
  </si>
  <si>
    <r>
      <rPr>
        <b/>
        <sz val="12"/>
        <color indexed="8"/>
        <rFont val="宋体"/>
        <charset val="134"/>
      </rPr>
      <t>班级</t>
    </r>
  </si>
  <si>
    <r>
      <rPr>
        <b/>
        <sz val="12"/>
        <color indexed="8"/>
        <rFont val="宋体"/>
        <charset val="134"/>
      </rPr>
      <t>上半年学生人数</t>
    </r>
  </si>
  <si>
    <r>
      <rPr>
        <b/>
        <sz val="12"/>
        <color indexed="8"/>
        <rFont val="宋体"/>
        <charset val="134"/>
      </rPr>
      <t>下半年学生人数</t>
    </r>
  </si>
  <si>
    <r>
      <rPr>
        <b/>
        <sz val="12"/>
        <color indexed="8"/>
        <rFont val="宋体"/>
        <charset val="134"/>
      </rPr>
      <t>核定数</t>
    </r>
  </si>
  <si>
    <r>
      <rPr>
        <sz val="12"/>
        <rFont val="宋体"/>
        <charset val="134"/>
      </rPr>
      <t>小学部</t>
    </r>
  </si>
  <si>
    <t>年  度</t>
  </si>
  <si>
    <r>
      <rPr>
        <sz val="12"/>
        <rFont val="Times New Roman"/>
        <charset val="134"/>
      </rPr>
      <t>2019</t>
    </r>
    <r>
      <rPr>
        <sz val="12"/>
        <rFont val="宋体"/>
        <charset val="134"/>
      </rPr>
      <t>年</t>
    </r>
  </si>
  <si>
    <r>
      <rPr>
        <sz val="12"/>
        <rFont val="Times New Roman"/>
        <charset val="134"/>
      </rPr>
      <t>2020</t>
    </r>
    <r>
      <rPr>
        <sz val="12"/>
        <rFont val="宋体"/>
        <charset val="134"/>
      </rPr>
      <t>年</t>
    </r>
  </si>
  <si>
    <r>
      <rPr>
        <sz val="12"/>
        <rFont val="Times New Roman"/>
        <charset val="134"/>
      </rPr>
      <t>2021</t>
    </r>
    <r>
      <rPr>
        <sz val="12"/>
        <rFont val="宋体"/>
        <charset val="134"/>
      </rPr>
      <t>年</t>
    </r>
  </si>
  <si>
    <r>
      <rPr>
        <sz val="12"/>
        <rFont val="宋体"/>
        <charset val="134"/>
      </rPr>
      <t>合</t>
    </r>
    <r>
      <rPr>
        <sz val="12"/>
        <rFont val="Times New Roman"/>
        <charset val="134"/>
      </rPr>
      <t xml:space="preserve">  </t>
    </r>
    <r>
      <rPr>
        <sz val="12"/>
        <rFont val="宋体"/>
        <charset val="134"/>
      </rPr>
      <t>计</t>
    </r>
  </si>
  <si>
    <r>
      <rPr>
        <b/>
        <sz val="12"/>
        <rFont val="宋体"/>
        <charset val="134"/>
      </rPr>
      <t>标准学生人数</t>
    </r>
  </si>
  <si>
    <t>说   明</t>
  </si>
  <si>
    <t>该校为单一小学教育，每生取值为1</t>
  </si>
  <si>
    <t>伯爵小学2019年教职工人数核定表</t>
  </si>
  <si>
    <t>学校教职工年平均工资总额限额核定表</t>
  </si>
  <si>
    <r>
      <rPr>
        <b/>
        <sz val="12"/>
        <color indexed="8"/>
        <rFont val="宋体"/>
        <charset val="134"/>
      </rPr>
      <t>项目</t>
    </r>
  </si>
  <si>
    <r>
      <rPr>
        <b/>
        <sz val="12"/>
        <color indexed="8"/>
        <rFont val="宋体"/>
        <charset val="134"/>
      </rPr>
      <t>上半年人数</t>
    </r>
  </si>
  <si>
    <r>
      <rPr>
        <b/>
        <sz val="12"/>
        <color indexed="8"/>
        <rFont val="宋体"/>
        <charset val="134"/>
      </rPr>
      <t>下半年人数</t>
    </r>
  </si>
  <si>
    <r>
      <rPr>
        <b/>
        <sz val="12"/>
        <color indexed="8"/>
        <rFont val="宋体"/>
        <charset val="134"/>
      </rPr>
      <t>核算数</t>
    </r>
  </si>
  <si>
    <r>
      <rPr>
        <b/>
        <sz val="12"/>
        <color indexed="8"/>
        <rFont val="宋体"/>
        <charset val="134"/>
      </rPr>
      <t>限额数</t>
    </r>
  </si>
  <si>
    <r>
      <rPr>
        <b/>
        <sz val="12"/>
        <color indexed="8"/>
        <rFont val="宋体"/>
        <charset val="134"/>
      </rPr>
      <t>核减数</t>
    </r>
  </si>
  <si>
    <t>当地教育行业人均数</t>
  </si>
  <si>
    <t>核定人数</t>
  </si>
  <si>
    <t>核定平均总额</t>
  </si>
  <si>
    <t>限额值（1.2倍）</t>
  </si>
  <si>
    <t>报送工资</t>
  </si>
  <si>
    <t>核定工资</t>
  </si>
  <si>
    <r>
      <rPr>
        <b/>
        <sz val="12"/>
        <color indexed="8"/>
        <rFont val="宋体"/>
        <charset val="134"/>
      </rPr>
      <t>教职工人数</t>
    </r>
  </si>
  <si>
    <t>（一）在职教职工人数</t>
  </si>
  <si>
    <r>
      <rPr>
        <sz val="12"/>
        <color rgb="FF000000"/>
        <rFont val="Times New Roman"/>
        <charset val="134"/>
      </rPr>
      <t xml:space="preserve">             </t>
    </r>
    <r>
      <rPr>
        <sz val="12"/>
        <color indexed="8"/>
        <rFont val="宋体"/>
        <charset val="134"/>
      </rPr>
      <t>小学部</t>
    </r>
  </si>
  <si>
    <r>
      <rPr>
        <sz val="12"/>
        <color rgb="FF000000"/>
        <rFont val="Times New Roman"/>
        <charset val="134"/>
      </rPr>
      <t xml:space="preserve">            </t>
    </r>
    <r>
      <rPr>
        <sz val="12"/>
        <color indexed="8"/>
        <rFont val="宋体"/>
        <charset val="134"/>
      </rPr>
      <t>初中部</t>
    </r>
  </si>
  <si>
    <r>
      <rPr>
        <sz val="12"/>
        <color rgb="FF000000"/>
        <rFont val="Times New Roman"/>
        <charset val="134"/>
      </rPr>
      <t xml:space="preserve">            </t>
    </r>
    <r>
      <rPr>
        <sz val="12"/>
        <color indexed="8"/>
        <rFont val="宋体"/>
        <charset val="134"/>
      </rPr>
      <t>高中部</t>
    </r>
  </si>
  <si>
    <t>伯爵小学教职工人数核定表</t>
  </si>
  <si>
    <t>伯爵学校职工薪酬核定表</t>
  </si>
  <si>
    <r>
      <rPr>
        <b/>
        <sz val="12"/>
        <color theme="1"/>
        <rFont val="Times New Roman"/>
        <charset val="134"/>
      </rPr>
      <t>2019</t>
    </r>
    <r>
      <rPr>
        <b/>
        <sz val="12"/>
        <color indexed="8"/>
        <rFont val="宋体"/>
        <charset val="134"/>
      </rPr>
      <t>年上报数</t>
    </r>
  </si>
  <si>
    <r>
      <rPr>
        <b/>
        <sz val="12"/>
        <color indexed="8"/>
        <rFont val="宋体"/>
        <charset val="134"/>
      </rPr>
      <t>最高限额</t>
    </r>
  </si>
  <si>
    <r>
      <rPr>
        <b/>
        <sz val="12"/>
        <color theme="1"/>
        <rFont val="Times New Roman"/>
        <charset val="134"/>
      </rPr>
      <t>2019</t>
    </r>
    <r>
      <rPr>
        <b/>
        <sz val="12"/>
        <color indexed="8"/>
        <rFont val="宋体"/>
        <charset val="134"/>
      </rPr>
      <t>年核减数</t>
    </r>
  </si>
  <si>
    <r>
      <rPr>
        <b/>
        <sz val="12"/>
        <color indexed="8"/>
        <rFont val="宋体"/>
        <charset val="134"/>
      </rPr>
      <t>最低限额</t>
    </r>
  </si>
  <si>
    <t>比列</t>
  </si>
  <si>
    <r>
      <rPr>
        <sz val="12"/>
        <rFont val="宋体"/>
        <charset val="134"/>
      </rPr>
      <t>职工薪酬</t>
    </r>
  </si>
  <si>
    <r>
      <rPr>
        <sz val="12"/>
        <rFont val="宋体"/>
        <charset val="134"/>
      </rPr>
      <t>职工福利费</t>
    </r>
  </si>
  <si>
    <r>
      <rPr>
        <sz val="12"/>
        <rFont val="宋体"/>
        <charset val="134"/>
      </rPr>
      <t>社会保障费</t>
    </r>
    <r>
      <rPr>
        <sz val="12"/>
        <rFont val="Times New Roman"/>
        <charset val="134"/>
      </rPr>
      <t>(</t>
    </r>
    <r>
      <rPr>
        <sz val="12"/>
        <rFont val="宋体"/>
        <charset val="134"/>
      </rPr>
      <t>五险</t>
    </r>
    <r>
      <rPr>
        <sz val="12"/>
        <rFont val="Times New Roman"/>
        <charset val="134"/>
      </rPr>
      <t>)</t>
    </r>
  </si>
  <si>
    <r>
      <rPr>
        <sz val="12"/>
        <rFont val="宋体"/>
        <charset val="134"/>
      </rPr>
      <t>企业年金</t>
    </r>
  </si>
  <si>
    <t>补充医疗保险</t>
  </si>
  <si>
    <r>
      <rPr>
        <sz val="12"/>
        <rFont val="宋体"/>
        <charset val="134"/>
      </rPr>
      <t>住房公积金</t>
    </r>
  </si>
  <si>
    <r>
      <rPr>
        <sz val="12"/>
        <rFont val="宋体"/>
        <charset val="134"/>
      </rPr>
      <t>工会经费</t>
    </r>
  </si>
  <si>
    <r>
      <rPr>
        <sz val="12"/>
        <rFont val="宋体"/>
        <charset val="134"/>
      </rPr>
      <t>职工教育经费</t>
    </r>
  </si>
  <si>
    <t>小计</t>
  </si>
  <si>
    <r>
      <rPr>
        <b/>
        <sz val="12"/>
        <color theme="1"/>
        <rFont val="Times New Roman"/>
        <charset val="134"/>
      </rPr>
      <t>2020</t>
    </r>
    <r>
      <rPr>
        <b/>
        <sz val="12"/>
        <color indexed="8"/>
        <rFont val="宋体"/>
        <charset val="134"/>
      </rPr>
      <t>年上报数</t>
    </r>
  </si>
  <si>
    <r>
      <rPr>
        <b/>
        <sz val="12"/>
        <color theme="1"/>
        <rFont val="Times New Roman"/>
        <charset val="134"/>
      </rPr>
      <t>2020</t>
    </r>
    <r>
      <rPr>
        <b/>
        <sz val="12"/>
        <color indexed="8"/>
        <rFont val="宋体"/>
        <charset val="134"/>
      </rPr>
      <t>年核减数</t>
    </r>
  </si>
  <si>
    <t>其他</t>
  </si>
  <si>
    <r>
      <rPr>
        <b/>
        <sz val="12"/>
        <color theme="1"/>
        <rFont val="Times New Roman"/>
        <charset val="134"/>
      </rPr>
      <t>2021</t>
    </r>
    <r>
      <rPr>
        <b/>
        <sz val="12"/>
        <color indexed="8"/>
        <rFont val="宋体"/>
        <charset val="134"/>
      </rPr>
      <t>年上报数</t>
    </r>
  </si>
  <si>
    <r>
      <rPr>
        <b/>
        <sz val="12"/>
        <color theme="1"/>
        <rFont val="Times New Roman"/>
        <charset val="134"/>
      </rPr>
      <t>2021</t>
    </r>
    <r>
      <rPr>
        <b/>
        <sz val="12"/>
        <color indexed="8"/>
        <rFont val="宋体"/>
        <charset val="134"/>
      </rPr>
      <t>年核减数</t>
    </r>
  </si>
  <si>
    <t>伯爵小学固定资产折旧计算表</t>
  </si>
  <si>
    <t>伯爵小学固定资产折旧核算表</t>
  </si>
  <si>
    <r>
      <rPr>
        <b/>
        <sz val="12"/>
        <color indexed="8"/>
        <rFont val="宋体"/>
        <charset val="134"/>
      </rPr>
      <t>项</t>
    </r>
    <r>
      <rPr>
        <b/>
        <sz val="12"/>
        <color indexed="8"/>
        <rFont val="Times New Roman"/>
        <charset val="134"/>
      </rPr>
      <t xml:space="preserve"> </t>
    </r>
    <r>
      <rPr>
        <b/>
        <sz val="12"/>
        <color indexed="8"/>
        <rFont val="宋体"/>
        <charset val="134"/>
      </rPr>
      <t>目</t>
    </r>
  </si>
  <si>
    <r>
      <rPr>
        <b/>
        <sz val="12"/>
        <rFont val="宋体"/>
        <charset val="134"/>
      </rPr>
      <t>原值</t>
    </r>
  </si>
  <si>
    <r>
      <rPr>
        <b/>
        <sz val="12"/>
        <rFont val="宋体"/>
        <charset val="134"/>
      </rPr>
      <t>折旧年限</t>
    </r>
  </si>
  <si>
    <r>
      <rPr>
        <b/>
        <sz val="12"/>
        <rFont val="宋体"/>
        <charset val="134"/>
      </rPr>
      <t>残值率</t>
    </r>
  </si>
  <si>
    <r>
      <rPr>
        <b/>
        <sz val="12"/>
        <rFont val="宋体"/>
        <charset val="134"/>
      </rPr>
      <t>年折旧额</t>
    </r>
  </si>
  <si>
    <t>净值</t>
  </si>
  <si>
    <r>
      <rPr>
        <b/>
        <sz val="12"/>
        <rFont val="宋体"/>
        <charset val="134"/>
      </rPr>
      <t>固定资产年末总值（元）</t>
    </r>
  </si>
  <si>
    <r>
      <rPr>
        <b/>
        <sz val="12"/>
        <rFont val="宋体"/>
        <charset val="134"/>
      </rPr>
      <t>一、房屋及构筑物</t>
    </r>
  </si>
  <si>
    <r>
      <rPr>
        <sz val="12"/>
        <color rgb="FF000000"/>
        <rFont val="Times New Roman"/>
        <charset val="134"/>
      </rPr>
      <t>1.</t>
    </r>
    <r>
      <rPr>
        <sz val="12"/>
        <color indexed="8"/>
        <rFont val="宋体"/>
        <charset val="134"/>
      </rPr>
      <t>房屋</t>
    </r>
  </si>
  <si>
    <t>二、通用设备</t>
  </si>
  <si>
    <r>
      <rPr>
        <sz val="12"/>
        <color rgb="FF000000"/>
        <rFont val="Times New Roman"/>
        <charset val="134"/>
      </rPr>
      <t>2.</t>
    </r>
    <r>
      <rPr>
        <sz val="12"/>
        <color indexed="8"/>
        <rFont val="宋体"/>
        <charset val="134"/>
      </rPr>
      <t>简易房</t>
    </r>
  </si>
  <si>
    <t>三、专用设备</t>
  </si>
  <si>
    <r>
      <rPr>
        <sz val="12"/>
        <color rgb="FF000000"/>
        <rFont val="Times New Roman"/>
        <charset val="134"/>
      </rPr>
      <t>3.</t>
    </r>
    <r>
      <rPr>
        <sz val="12"/>
        <color indexed="8"/>
        <rFont val="宋体"/>
        <charset val="134"/>
      </rPr>
      <t>房屋附属设施</t>
    </r>
  </si>
  <si>
    <t>按照分摊系数表分摊固定资产折旧</t>
  </si>
  <si>
    <t>学费0.688</t>
  </si>
  <si>
    <r>
      <rPr>
        <sz val="12"/>
        <rFont val="宋体"/>
        <charset val="134"/>
      </rPr>
      <t>住宿费</t>
    </r>
    <r>
      <rPr>
        <sz val="12"/>
        <rFont val="Times New Roman"/>
        <charset val="134"/>
      </rPr>
      <t>0.05</t>
    </r>
  </si>
  <si>
    <r>
      <rPr>
        <sz val="12"/>
        <rFont val="宋体"/>
        <charset val="134"/>
      </rPr>
      <t>服务费</t>
    </r>
    <r>
      <rPr>
        <sz val="12"/>
        <rFont val="Times New Roman"/>
        <charset val="134"/>
      </rPr>
      <t>0.126</t>
    </r>
  </si>
  <si>
    <r>
      <rPr>
        <sz val="12"/>
        <color rgb="FF000000"/>
        <rFont val="Times New Roman"/>
        <charset val="134"/>
      </rPr>
      <t>4.</t>
    </r>
    <r>
      <rPr>
        <sz val="12"/>
        <color indexed="8"/>
        <rFont val="宋体"/>
        <charset val="134"/>
      </rPr>
      <t>构筑物</t>
    </r>
  </si>
  <si>
    <r>
      <rPr>
        <b/>
        <sz val="12"/>
        <color indexed="8"/>
        <rFont val="宋体"/>
        <charset val="134"/>
      </rPr>
      <t>二、通用设备</t>
    </r>
  </si>
  <si>
    <r>
      <rPr>
        <b/>
        <sz val="12"/>
        <color rgb="FF000000"/>
        <rFont val="Times New Roman"/>
        <charset val="134"/>
      </rPr>
      <t>2020</t>
    </r>
    <r>
      <rPr>
        <b/>
        <sz val="12"/>
        <color rgb="FF000000"/>
        <rFont val="宋体"/>
        <charset val="134"/>
      </rPr>
      <t>年</t>
    </r>
  </si>
  <si>
    <r>
      <rPr>
        <sz val="12"/>
        <color rgb="FF000000"/>
        <rFont val="Times New Roman"/>
        <charset val="134"/>
      </rPr>
      <t>1.</t>
    </r>
    <r>
      <rPr>
        <sz val="12"/>
        <color indexed="8"/>
        <rFont val="宋体"/>
        <charset val="134"/>
      </rPr>
      <t>计算机设备</t>
    </r>
  </si>
  <si>
    <r>
      <rPr>
        <sz val="12"/>
        <color rgb="FF000000"/>
        <rFont val="Times New Roman"/>
        <charset val="134"/>
      </rPr>
      <t>2.</t>
    </r>
    <r>
      <rPr>
        <sz val="12"/>
        <color indexed="8"/>
        <rFont val="宋体"/>
        <charset val="134"/>
      </rPr>
      <t>办公设备</t>
    </r>
  </si>
  <si>
    <r>
      <rPr>
        <sz val="12"/>
        <color rgb="FF000000"/>
        <rFont val="Times New Roman"/>
        <charset val="134"/>
      </rPr>
      <t>3.</t>
    </r>
    <r>
      <rPr>
        <sz val="12"/>
        <color indexed="8"/>
        <rFont val="宋体"/>
        <charset val="134"/>
      </rPr>
      <t>车辆</t>
    </r>
  </si>
  <si>
    <r>
      <rPr>
        <sz val="12"/>
        <color rgb="FF000000"/>
        <rFont val="Times New Roman"/>
        <charset val="134"/>
      </rPr>
      <t>4.</t>
    </r>
    <r>
      <rPr>
        <sz val="12"/>
        <color indexed="8"/>
        <rFont val="宋体"/>
        <charset val="134"/>
      </rPr>
      <t>图书档案设备</t>
    </r>
  </si>
  <si>
    <t>学费0.751</t>
  </si>
  <si>
    <r>
      <rPr>
        <sz val="12"/>
        <rFont val="宋体"/>
        <charset val="134"/>
      </rPr>
      <t>住宿费</t>
    </r>
    <r>
      <rPr>
        <sz val="12"/>
        <rFont val="Times New Roman"/>
        <charset val="134"/>
      </rPr>
      <t>0.04</t>
    </r>
  </si>
  <si>
    <r>
      <rPr>
        <sz val="12"/>
        <rFont val="宋体"/>
        <charset val="134"/>
      </rPr>
      <t>服务费</t>
    </r>
    <r>
      <rPr>
        <sz val="12"/>
        <rFont val="Times New Roman"/>
        <charset val="134"/>
      </rPr>
      <t>0.100</t>
    </r>
  </si>
  <si>
    <r>
      <rPr>
        <sz val="12"/>
        <color rgb="FF000000"/>
        <rFont val="Times New Roman"/>
        <charset val="134"/>
      </rPr>
      <t>5.</t>
    </r>
    <r>
      <rPr>
        <sz val="12"/>
        <color indexed="8"/>
        <rFont val="宋体"/>
        <charset val="134"/>
      </rPr>
      <t>机械设备</t>
    </r>
  </si>
  <si>
    <r>
      <rPr>
        <sz val="12"/>
        <color rgb="FF000000"/>
        <rFont val="Times New Roman"/>
        <charset val="134"/>
      </rPr>
      <t>6.</t>
    </r>
    <r>
      <rPr>
        <sz val="12"/>
        <color indexed="8"/>
        <rFont val="宋体"/>
        <charset val="134"/>
      </rPr>
      <t>电气设备</t>
    </r>
  </si>
  <si>
    <r>
      <rPr>
        <sz val="12"/>
        <color rgb="FF000000"/>
        <rFont val="Times New Roman"/>
        <charset val="134"/>
      </rPr>
      <t>2021</t>
    </r>
    <r>
      <rPr>
        <sz val="12"/>
        <color rgb="FF000000"/>
        <rFont val="宋体"/>
        <charset val="134"/>
      </rPr>
      <t>年</t>
    </r>
  </si>
  <si>
    <r>
      <rPr>
        <sz val="12"/>
        <color rgb="FF000000"/>
        <rFont val="Times New Roman"/>
        <charset val="134"/>
      </rPr>
      <t>7.</t>
    </r>
    <r>
      <rPr>
        <sz val="12"/>
        <color indexed="8"/>
        <rFont val="宋体"/>
        <charset val="134"/>
      </rPr>
      <t>通信设备</t>
    </r>
  </si>
  <si>
    <r>
      <rPr>
        <sz val="12"/>
        <color rgb="FF000000"/>
        <rFont val="Times New Roman"/>
        <charset val="134"/>
      </rPr>
      <t>8.</t>
    </r>
    <r>
      <rPr>
        <sz val="12"/>
        <color indexed="8"/>
        <rFont val="宋体"/>
        <charset val="134"/>
      </rPr>
      <t>广播、电视、电影设备</t>
    </r>
  </si>
  <si>
    <r>
      <rPr>
        <sz val="12"/>
        <color rgb="FF000000"/>
        <rFont val="Times New Roman"/>
        <charset val="134"/>
      </rPr>
      <t>9.</t>
    </r>
    <r>
      <rPr>
        <sz val="12"/>
        <color indexed="8"/>
        <rFont val="宋体"/>
        <charset val="134"/>
      </rPr>
      <t>仪器仪表</t>
    </r>
  </si>
  <si>
    <r>
      <rPr>
        <sz val="12"/>
        <color rgb="FF000000"/>
        <rFont val="Times New Roman"/>
        <charset val="134"/>
      </rPr>
      <t>10.</t>
    </r>
    <r>
      <rPr>
        <sz val="12"/>
        <color indexed="8"/>
        <rFont val="宋体"/>
        <charset val="134"/>
      </rPr>
      <t>电子和通信测量设备、</t>
    </r>
  </si>
  <si>
    <r>
      <rPr>
        <sz val="12"/>
        <color rgb="FF000000"/>
        <rFont val="Times New Roman"/>
        <charset val="134"/>
      </rPr>
      <t>11.</t>
    </r>
    <r>
      <rPr>
        <sz val="12"/>
        <color indexed="8"/>
        <rFont val="宋体"/>
        <charset val="134"/>
      </rPr>
      <t>计量标准器具及量具、衡器</t>
    </r>
  </si>
  <si>
    <t>学费0.767</t>
  </si>
  <si>
    <r>
      <rPr>
        <sz val="12"/>
        <rFont val="宋体"/>
        <charset val="134"/>
      </rPr>
      <t>住宿费</t>
    </r>
    <r>
      <rPr>
        <sz val="12"/>
        <rFont val="Times New Roman"/>
        <charset val="134"/>
      </rPr>
      <t>0.032</t>
    </r>
  </si>
  <si>
    <r>
      <rPr>
        <sz val="12"/>
        <rFont val="宋体"/>
        <charset val="134"/>
      </rPr>
      <t>服务费</t>
    </r>
    <r>
      <rPr>
        <sz val="12"/>
        <rFont val="Times New Roman"/>
        <charset val="134"/>
      </rPr>
      <t>0.08</t>
    </r>
  </si>
  <si>
    <r>
      <rPr>
        <b/>
        <sz val="12"/>
        <color indexed="8"/>
        <rFont val="宋体"/>
        <charset val="134"/>
      </rPr>
      <t>三、专用设备</t>
    </r>
  </si>
  <si>
    <r>
      <rPr>
        <sz val="12"/>
        <color rgb="FF000000"/>
        <rFont val="Times New Roman"/>
        <charset val="134"/>
      </rPr>
      <t>1.</t>
    </r>
    <r>
      <rPr>
        <sz val="12"/>
        <color indexed="8"/>
        <rFont val="宋体"/>
        <charset val="134"/>
      </rPr>
      <t>专用仪器仪表</t>
    </r>
  </si>
  <si>
    <r>
      <rPr>
        <sz val="12"/>
        <color rgb="FF000000"/>
        <rFont val="Times New Roman"/>
        <charset val="134"/>
      </rPr>
      <t>2.</t>
    </r>
    <r>
      <rPr>
        <sz val="12"/>
        <color indexed="8"/>
        <rFont val="宋体"/>
        <charset val="134"/>
      </rPr>
      <t>文艺设备</t>
    </r>
  </si>
  <si>
    <r>
      <rPr>
        <sz val="12"/>
        <color rgb="FF000000"/>
        <rFont val="Times New Roman"/>
        <charset val="134"/>
      </rPr>
      <t>3.</t>
    </r>
    <r>
      <rPr>
        <sz val="12"/>
        <color indexed="8"/>
        <rFont val="宋体"/>
        <charset val="134"/>
      </rPr>
      <t>体育设备</t>
    </r>
  </si>
  <si>
    <r>
      <rPr>
        <sz val="12"/>
        <color rgb="FF000000"/>
        <rFont val="Times New Roman"/>
        <charset val="134"/>
      </rPr>
      <t>4.</t>
    </r>
    <r>
      <rPr>
        <sz val="12"/>
        <color indexed="8"/>
        <rFont val="宋体"/>
        <charset val="134"/>
      </rPr>
      <t>娱乐设备</t>
    </r>
  </si>
  <si>
    <r>
      <rPr>
        <sz val="12"/>
        <color rgb="FF000000"/>
        <rFont val="Times New Roman"/>
        <charset val="134"/>
      </rPr>
      <t>5.</t>
    </r>
    <r>
      <rPr>
        <sz val="12"/>
        <color indexed="8"/>
        <rFont val="宋体"/>
        <charset val="134"/>
      </rPr>
      <t>公安专用设备</t>
    </r>
  </si>
  <si>
    <r>
      <rPr>
        <sz val="12"/>
        <color rgb="FF000000"/>
        <rFont val="Times New Roman"/>
        <charset val="134"/>
      </rPr>
      <t>6.</t>
    </r>
    <r>
      <rPr>
        <sz val="12"/>
        <color indexed="8"/>
        <rFont val="宋体"/>
        <charset val="134"/>
      </rPr>
      <t>其他专用设备</t>
    </r>
  </si>
  <si>
    <r>
      <rPr>
        <b/>
        <sz val="12"/>
        <color indexed="8"/>
        <rFont val="宋体"/>
        <charset val="134"/>
      </rPr>
      <t>四、家具、用具及装具</t>
    </r>
  </si>
  <si>
    <r>
      <rPr>
        <sz val="12"/>
        <color rgb="FF000000"/>
        <rFont val="Times New Roman"/>
        <charset val="134"/>
      </rPr>
      <t>1.</t>
    </r>
    <r>
      <rPr>
        <sz val="12"/>
        <color indexed="8"/>
        <rFont val="宋体"/>
        <charset val="134"/>
      </rPr>
      <t>家具</t>
    </r>
  </si>
  <si>
    <r>
      <rPr>
        <sz val="12"/>
        <color indexed="8"/>
        <rFont val="宋体"/>
        <charset val="134"/>
      </rPr>
      <t>其中：学生用家具（教学用）</t>
    </r>
  </si>
  <si>
    <r>
      <rPr>
        <sz val="12"/>
        <color rgb="FF000000"/>
        <rFont val="Times New Roman"/>
        <charset val="134"/>
      </rPr>
      <t>2.</t>
    </r>
    <r>
      <rPr>
        <sz val="12"/>
        <color indexed="8"/>
        <rFont val="宋体"/>
        <charset val="134"/>
      </rPr>
      <t>用具和装具</t>
    </r>
  </si>
  <si>
    <t>有一部分通用设备和专用设备超过5年折旧期间，已折旧完但仍在使用，所以年折旧额低于上述折旧额</t>
  </si>
  <si>
    <t>承 诺 书</t>
  </si>
  <si>
    <r>
      <rPr>
        <sz val="15"/>
        <color theme="1"/>
        <rFont val="Times New Roman"/>
        <charset val="134"/>
      </rPr>
      <t xml:space="preserve">        </t>
    </r>
    <r>
      <rPr>
        <sz val="15"/>
        <color theme="1"/>
        <rFont val="宋体"/>
        <charset val="134"/>
      </rPr>
      <t>根据《政府制定价格成本监审办法》（国家发展和改革委员会第</t>
    </r>
    <r>
      <rPr>
        <sz val="15"/>
        <color theme="1"/>
        <rFont val="Times New Roman"/>
        <charset val="134"/>
      </rPr>
      <t>8</t>
    </r>
    <r>
      <rPr>
        <sz val="15"/>
        <color theme="1"/>
        <rFont val="宋体"/>
        <charset val="134"/>
      </rPr>
      <t>号令）的要求，我校就湖南省民办中小学校教育培养定价成本监审所提供的成本费用资料及数据郑重承诺如下：</t>
    </r>
  </si>
  <si>
    <t xml:space="preserve">    一、提供的成本所需资料、数据是合法、真实、完整的；</t>
  </si>
  <si>
    <t xml:space="preserve">    二、如因我校提供的资料不合法、不真实、不完整引起的一切后果，由本校自行承担。</t>
  </si>
  <si>
    <r>
      <rPr>
        <sz val="15"/>
        <color theme="1"/>
        <rFont val="Times New Roman"/>
        <charset val="134"/>
      </rPr>
      <t xml:space="preserve">                                                    </t>
    </r>
    <r>
      <rPr>
        <sz val="15"/>
        <color theme="1"/>
        <rFont val="宋体"/>
        <charset val="134"/>
      </rPr>
      <t>财务负责人员（签字）：</t>
    </r>
  </si>
  <si>
    <t xml:space="preserve">                              法人代表（签字）：</t>
  </si>
  <si>
    <r>
      <rPr>
        <sz val="15"/>
        <color theme="1"/>
        <rFont val="Times New Roman"/>
        <charset val="134"/>
      </rPr>
      <t xml:space="preserve">                                   </t>
    </r>
    <r>
      <rPr>
        <sz val="15"/>
        <color theme="1"/>
        <rFont val="宋体"/>
        <charset val="134"/>
      </rPr>
      <t>年</t>
    </r>
    <r>
      <rPr>
        <sz val="15"/>
        <color theme="1"/>
        <rFont val="Times New Roman"/>
        <charset val="134"/>
      </rPr>
      <t xml:space="preserve">     </t>
    </r>
    <r>
      <rPr>
        <sz val="15"/>
        <color theme="1"/>
        <rFont val="宋体"/>
        <charset val="134"/>
      </rPr>
      <t>月</t>
    </r>
    <r>
      <rPr>
        <sz val="16"/>
        <color theme="1"/>
        <rFont val="Times New Roman"/>
        <charset val="134"/>
      </rPr>
      <t xml:space="preserve">     </t>
    </r>
    <r>
      <rPr>
        <sz val="16"/>
        <color theme="1"/>
        <rFont val="宋体"/>
        <charset val="134"/>
      </rPr>
      <t>日</t>
    </r>
  </si>
  <si>
    <t>附表：5</t>
  </si>
  <si>
    <t>伯爵小学均摊系数表</t>
  </si>
  <si>
    <t>第一次分摊</t>
  </si>
  <si>
    <t>学费收入</t>
  </si>
  <si>
    <t>小学</t>
  </si>
  <si>
    <t>幼儿园</t>
  </si>
  <si>
    <t>小学占比</t>
  </si>
  <si>
    <t>幼儿园占比</t>
  </si>
  <si>
    <t>小学第二次分摊</t>
  </si>
  <si>
    <t>学费占比</t>
  </si>
  <si>
    <t>住宿费占比</t>
  </si>
  <si>
    <t>服务费占比</t>
  </si>
  <si>
    <t>第二次分摊占比第一次分摊系数</t>
  </si>
</sst>
</file>

<file path=xl/styles.xml><?xml version="1.0" encoding="utf-8"?>
<styleSheet xmlns="http://schemas.openxmlformats.org/spreadsheetml/2006/main" xmlns:mc="http://schemas.openxmlformats.org/markup-compatibility/2006" xmlns:xr9="http://schemas.microsoft.com/office/spreadsheetml/2016/revision9" mc:Ignorable="xr9">
  <numFmts count="11">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000_ "/>
    <numFmt numFmtId="179" formatCode="0.00_);\(0.00\)"/>
    <numFmt numFmtId="180" formatCode="0.00_);[Red]\(0.00\)"/>
    <numFmt numFmtId="181" formatCode="#,##0.00_ "/>
    <numFmt numFmtId="182" formatCode="0_ "/>
  </numFmts>
  <fonts count="56">
    <font>
      <sz val="11"/>
      <color theme="1"/>
      <name val="宋体"/>
      <charset val="134"/>
      <scheme val="minor"/>
    </font>
    <font>
      <sz val="16"/>
      <name val="黑体"/>
      <charset val="134"/>
    </font>
    <font>
      <sz val="12"/>
      <name val="宋体"/>
      <charset val="134"/>
    </font>
    <font>
      <b/>
      <sz val="20"/>
      <name val="方正小标宋简体"/>
      <charset val="134"/>
    </font>
    <font>
      <sz val="10"/>
      <name val="Times New Roman"/>
      <charset val="134"/>
    </font>
    <font>
      <b/>
      <sz val="12"/>
      <name val="宋体"/>
      <charset val="134"/>
    </font>
    <font>
      <sz val="12"/>
      <color theme="1"/>
      <name val="宋体"/>
      <charset val="134"/>
    </font>
    <font>
      <b/>
      <sz val="11"/>
      <color theme="1"/>
      <name val="宋体"/>
      <charset val="134"/>
      <scheme val="minor"/>
    </font>
    <font>
      <b/>
      <sz val="26"/>
      <color theme="1"/>
      <name val="方正黑体_GBK"/>
      <charset val="134"/>
    </font>
    <font>
      <sz val="15"/>
      <color theme="1"/>
      <name val="宋体"/>
      <charset val="134"/>
    </font>
    <font>
      <sz val="15"/>
      <color theme="1"/>
      <name val="Calibri"/>
      <charset val="134"/>
    </font>
    <font>
      <sz val="15"/>
      <color theme="1"/>
      <name val="Times New Roman"/>
      <charset val="134"/>
    </font>
    <font>
      <b/>
      <sz val="20"/>
      <color rgb="FF000000"/>
      <name val="方正小标宋简体"/>
      <charset val="134"/>
    </font>
    <font>
      <b/>
      <sz val="12"/>
      <color rgb="FF000000"/>
      <name val="Times New Roman"/>
      <charset val="134"/>
    </font>
    <font>
      <b/>
      <sz val="12"/>
      <name val="Times New Roman"/>
      <charset val="134"/>
    </font>
    <font>
      <sz val="12"/>
      <name val="Times New Roman"/>
      <charset val="134"/>
    </font>
    <font>
      <sz val="12"/>
      <color rgb="FF000000"/>
      <name val="Times New Roman"/>
      <charset val="134"/>
    </font>
    <font>
      <b/>
      <sz val="12"/>
      <color rgb="FF000000"/>
      <name val="宋体"/>
      <charset val="134"/>
    </font>
    <font>
      <sz val="12"/>
      <color rgb="FF000000"/>
      <name val="宋体"/>
      <charset val="134"/>
    </font>
    <font>
      <sz val="9"/>
      <color rgb="FF000000"/>
      <name val="宋体"/>
      <charset val="134"/>
    </font>
    <font>
      <sz val="11"/>
      <color theme="1"/>
      <name val="宋体"/>
      <charset val="134"/>
      <scheme val="minor"/>
    </font>
    <font>
      <b/>
      <sz val="12"/>
      <color theme="1"/>
      <name val="Times New Roman"/>
      <charset val="134"/>
    </font>
    <font>
      <sz val="18"/>
      <color theme="1"/>
      <name val="宋体"/>
      <charset val="134"/>
      <scheme val="minor"/>
    </font>
    <font>
      <b/>
      <sz val="12"/>
      <color rgb="FFFF0000"/>
      <name val="宋体"/>
      <charset val="134"/>
    </font>
    <font>
      <sz val="16"/>
      <name val="Times New Roman"/>
      <charset val="134"/>
    </font>
    <font>
      <b/>
      <sz val="10"/>
      <name val="Times New Roman"/>
      <charset val="134"/>
    </font>
    <font>
      <sz val="12"/>
      <color indexed="8"/>
      <name val="Times New Roman"/>
      <charset val="134"/>
    </font>
    <font>
      <b/>
      <sz val="12"/>
      <color indexed="8"/>
      <name val="宋体"/>
      <charset val="134"/>
    </font>
    <font>
      <b/>
      <sz val="12"/>
      <color indexed="8"/>
      <name val="Times New Roman"/>
      <charset val="134"/>
    </font>
    <font>
      <sz val="16"/>
      <color rgb="FF000000"/>
      <name val="方正楷体简体"/>
      <charset val="134"/>
    </font>
    <font>
      <sz val="12"/>
      <name val="Calibri"/>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6"/>
      <color theme="1"/>
      <name val="Times New Roman"/>
      <charset val="134"/>
    </font>
    <font>
      <sz val="16"/>
      <color theme="1"/>
      <name val="宋体"/>
      <charset val="134"/>
    </font>
    <font>
      <sz val="12"/>
      <color indexed="8"/>
      <name val="宋体"/>
      <charset val="134"/>
    </font>
    <font>
      <sz val="16"/>
      <name val="宋体"/>
      <charset val="134"/>
    </font>
    <font>
      <sz val="9"/>
      <name val="宋体"/>
      <charset val="134"/>
    </font>
    <font>
      <b/>
      <sz val="9"/>
      <name val="宋体"/>
      <charset val="134"/>
    </font>
  </fonts>
  <fills count="35">
    <fill>
      <patternFill patternType="none"/>
    </fill>
    <fill>
      <patternFill patternType="gray125"/>
    </fill>
    <fill>
      <patternFill patternType="solid">
        <fgColor rgb="FFFFFFFF"/>
        <bgColor indexed="64"/>
      </patternFill>
    </fill>
    <fill>
      <patternFill patternType="solid">
        <fgColor rgb="FFF9FBFA"/>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medium">
        <color auto="1"/>
      </bottom>
      <diagonal/>
    </border>
    <border>
      <left/>
      <right/>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2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0" fillId="4" borderId="16" applyNumberFormat="0" applyFont="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17" applyNumberFormat="0" applyFill="0" applyAlignment="0" applyProtection="0">
      <alignment vertical="center"/>
    </xf>
    <xf numFmtId="0" fontId="37" fillId="0" borderId="17" applyNumberFormat="0" applyFill="0" applyAlignment="0" applyProtection="0">
      <alignment vertical="center"/>
    </xf>
    <xf numFmtId="0" fontId="38" fillId="0" borderId="18" applyNumberFormat="0" applyFill="0" applyAlignment="0" applyProtection="0">
      <alignment vertical="center"/>
    </xf>
    <xf numFmtId="0" fontId="38" fillId="0" borderId="0" applyNumberFormat="0" applyFill="0" applyBorder="0" applyAlignment="0" applyProtection="0">
      <alignment vertical="center"/>
    </xf>
    <xf numFmtId="0" fontId="39" fillId="5" borderId="19" applyNumberFormat="0" applyAlignment="0" applyProtection="0">
      <alignment vertical="center"/>
    </xf>
    <xf numFmtId="0" fontId="40" fillId="6" borderId="20" applyNumberFormat="0" applyAlignment="0" applyProtection="0">
      <alignment vertical="center"/>
    </xf>
    <xf numFmtId="0" fontId="41" fillId="6" borderId="19" applyNumberFormat="0" applyAlignment="0" applyProtection="0">
      <alignment vertical="center"/>
    </xf>
    <xf numFmtId="0" fontId="42" fillId="7" borderId="21" applyNumberFormat="0" applyAlignment="0" applyProtection="0">
      <alignment vertical="center"/>
    </xf>
    <xf numFmtId="0" fontId="43" fillId="0" borderId="22" applyNumberFormat="0" applyFill="0" applyAlignment="0" applyProtection="0">
      <alignment vertical="center"/>
    </xf>
    <xf numFmtId="0" fontId="44" fillId="0" borderId="23" applyNumberFormat="0" applyFill="0" applyAlignment="0" applyProtection="0">
      <alignment vertical="center"/>
    </xf>
    <xf numFmtId="0" fontId="45" fillId="8" borderId="0" applyNumberFormat="0" applyBorder="0" applyAlignment="0" applyProtection="0">
      <alignment vertical="center"/>
    </xf>
    <xf numFmtId="0" fontId="46" fillId="9" borderId="0" applyNumberFormat="0" applyBorder="0" applyAlignment="0" applyProtection="0">
      <alignment vertical="center"/>
    </xf>
    <xf numFmtId="0" fontId="47" fillId="10" borderId="0" applyNumberFormat="0" applyBorder="0" applyAlignment="0" applyProtection="0">
      <alignment vertical="center"/>
    </xf>
    <xf numFmtId="0" fontId="48" fillId="11" borderId="0" applyNumberFormat="0" applyBorder="0" applyAlignment="0" applyProtection="0">
      <alignment vertical="center"/>
    </xf>
    <xf numFmtId="0" fontId="49" fillId="12" borderId="0" applyNumberFormat="0" applyBorder="0" applyAlignment="0" applyProtection="0">
      <alignment vertical="center"/>
    </xf>
    <xf numFmtId="0" fontId="49" fillId="13" borderId="0" applyNumberFormat="0" applyBorder="0" applyAlignment="0" applyProtection="0">
      <alignment vertical="center"/>
    </xf>
    <xf numFmtId="0" fontId="48" fillId="14" borderId="0" applyNumberFormat="0" applyBorder="0" applyAlignment="0" applyProtection="0">
      <alignment vertical="center"/>
    </xf>
    <xf numFmtId="0" fontId="48" fillId="15" borderId="0" applyNumberFormat="0" applyBorder="0" applyAlignment="0" applyProtection="0">
      <alignment vertical="center"/>
    </xf>
    <xf numFmtId="0" fontId="49" fillId="16" borderId="0" applyNumberFormat="0" applyBorder="0" applyAlignment="0" applyProtection="0">
      <alignment vertical="center"/>
    </xf>
    <xf numFmtId="0" fontId="49" fillId="17" borderId="0" applyNumberFormat="0" applyBorder="0" applyAlignment="0" applyProtection="0">
      <alignment vertical="center"/>
    </xf>
    <xf numFmtId="0" fontId="48" fillId="18" borderId="0" applyNumberFormat="0" applyBorder="0" applyAlignment="0" applyProtection="0">
      <alignment vertical="center"/>
    </xf>
    <xf numFmtId="0" fontId="48" fillId="19" borderId="0" applyNumberFormat="0" applyBorder="0" applyAlignment="0" applyProtection="0">
      <alignment vertical="center"/>
    </xf>
    <xf numFmtId="0" fontId="49" fillId="20" borderId="0" applyNumberFormat="0" applyBorder="0" applyAlignment="0" applyProtection="0">
      <alignment vertical="center"/>
    </xf>
    <xf numFmtId="0" fontId="49" fillId="21" borderId="0" applyNumberFormat="0" applyBorder="0" applyAlignment="0" applyProtection="0">
      <alignment vertical="center"/>
    </xf>
    <xf numFmtId="0" fontId="48" fillId="22" borderId="0" applyNumberFormat="0" applyBorder="0" applyAlignment="0" applyProtection="0">
      <alignment vertical="center"/>
    </xf>
    <xf numFmtId="0" fontId="48" fillId="23" borderId="0" applyNumberFormat="0" applyBorder="0" applyAlignment="0" applyProtection="0">
      <alignment vertical="center"/>
    </xf>
    <xf numFmtId="0" fontId="49" fillId="24" borderId="0" applyNumberFormat="0" applyBorder="0" applyAlignment="0" applyProtection="0">
      <alignment vertical="center"/>
    </xf>
    <xf numFmtId="0" fontId="49" fillId="25" borderId="0" applyNumberFormat="0" applyBorder="0" applyAlignment="0" applyProtection="0">
      <alignment vertical="center"/>
    </xf>
    <xf numFmtId="0" fontId="48" fillId="26" borderId="0" applyNumberFormat="0" applyBorder="0" applyAlignment="0" applyProtection="0">
      <alignment vertical="center"/>
    </xf>
    <xf numFmtId="0" fontId="48" fillId="27" borderId="0" applyNumberFormat="0" applyBorder="0" applyAlignment="0" applyProtection="0">
      <alignment vertical="center"/>
    </xf>
    <xf numFmtId="0" fontId="49" fillId="28" borderId="0" applyNumberFormat="0" applyBorder="0" applyAlignment="0" applyProtection="0">
      <alignment vertical="center"/>
    </xf>
    <xf numFmtId="0" fontId="49" fillId="29" borderId="0" applyNumberFormat="0" applyBorder="0" applyAlignment="0" applyProtection="0">
      <alignment vertical="center"/>
    </xf>
    <xf numFmtId="0" fontId="48" fillId="30" borderId="0" applyNumberFormat="0" applyBorder="0" applyAlignment="0" applyProtection="0">
      <alignment vertical="center"/>
    </xf>
    <xf numFmtId="0" fontId="48" fillId="31" borderId="0" applyNumberFormat="0" applyBorder="0" applyAlignment="0" applyProtection="0">
      <alignment vertical="center"/>
    </xf>
    <xf numFmtId="0" fontId="49" fillId="32" borderId="0" applyNumberFormat="0" applyBorder="0" applyAlignment="0" applyProtection="0">
      <alignment vertical="center"/>
    </xf>
    <xf numFmtId="0" fontId="49" fillId="33" borderId="0" applyNumberFormat="0" applyBorder="0" applyAlignment="0" applyProtection="0">
      <alignment vertical="center"/>
    </xf>
    <xf numFmtId="0" fontId="48" fillId="34" borderId="0" applyNumberFormat="0" applyBorder="0" applyAlignment="0" applyProtection="0">
      <alignment vertical="center"/>
    </xf>
    <xf numFmtId="0" fontId="2" fillId="0" borderId="0">
      <alignment vertical="center"/>
    </xf>
    <xf numFmtId="0" fontId="2" fillId="0" borderId="0">
      <alignment vertical="center"/>
    </xf>
    <xf numFmtId="0" fontId="20" fillId="0" borderId="0">
      <alignment vertical="center"/>
    </xf>
    <xf numFmtId="43" fontId="2" fillId="0" borderId="0" applyFont="0" applyFill="0" applyBorder="0" applyAlignment="0" applyProtection="0">
      <alignment vertical="center"/>
    </xf>
    <xf numFmtId="43" fontId="2" fillId="0" borderId="0" applyFont="0" applyFill="0" applyBorder="0" applyAlignment="0" applyProtection="0">
      <alignment vertical="center"/>
    </xf>
  </cellStyleXfs>
  <cellXfs count="194">
    <xf numFmtId="0" fontId="0" fillId="0" borderId="0" xfId="0">
      <alignment vertical="center"/>
    </xf>
    <xf numFmtId="0" fontId="1" fillId="0" borderId="0" xfId="50" applyFont="1" applyFill="1" applyAlignment="1" applyProtection="1">
      <alignment vertical="center" wrapText="1"/>
    </xf>
    <xf numFmtId="0" fontId="2" fillId="0" borderId="0" xfId="50" applyAlignment="1">
      <alignment horizontal="center" vertical="center"/>
    </xf>
    <xf numFmtId="0" fontId="0" fillId="0" borderId="0" xfId="0" applyAlignment="1">
      <alignment horizontal="center" vertical="center"/>
    </xf>
    <xf numFmtId="0" fontId="3" fillId="0" borderId="0" xfId="50" applyFont="1" applyFill="1" applyAlignment="1" applyProtection="1">
      <alignment horizontal="center" vertical="center" wrapText="1"/>
    </xf>
    <xf numFmtId="0" fontId="4" fillId="0" borderId="1" xfId="50" applyFont="1" applyFill="1" applyBorder="1" applyAlignment="1" applyProtection="1">
      <alignment vertical="center" wrapText="1"/>
    </xf>
    <xf numFmtId="0" fontId="4" fillId="0" borderId="1" xfId="50" applyFont="1" applyFill="1" applyBorder="1" applyAlignment="1" applyProtection="1">
      <alignment horizontal="center" vertical="center" wrapText="1"/>
    </xf>
    <xf numFmtId="0" fontId="5" fillId="0" borderId="2" xfId="50" applyFont="1" applyFill="1" applyBorder="1" applyAlignment="1" applyProtection="1">
      <alignment horizontal="center" vertical="center" wrapText="1"/>
    </xf>
    <xf numFmtId="0" fontId="5" fillId="0" borderId="2" xfId="50" applyFont="1" applyFill="1" applyBorder="1" applyAlignment="1" applyProtection="1">
      <alignment vertical="center" wrapText="1"/>
    </xf>
    <xf numFmtId="176" fontId="2" fillId="0" borderId="2" xfId="50" applyNumberFormat="1" applyFont="1" applyFill="1" applyBorder="1" applyAlignment="1" applyProtection="1">
      <alignment horizontal="center" vertical="center" wrapText="1"/>
    </xf>
    <xf numFmtId="0" fontId="2" fillId="0" borderId="2" xfId="50" applyFont="1" applyFill="1" applyBorder="1" applyAlignment="1" applyProtection="1">
      <alignment horizontal="left" vertical="center" wrapText="1"/>
    </xf>
    <xf numFmtId="0" fontId="5" fillId="0" borderId="2" xfId="50" applyFont="1" applyFill="1" applyBorder="1" applyAlignment="1" applyProtection="1">
      <alignment horizontal="left" vertical="center" wrapText="1"/>
    </xf>
    <xf numFmtId="176" fontId="5" fillId="0" borderId="2" xfId="50" applyNumberFormat="1" applyFont="1" applyFill="1" applyBorder="1" applyAlignment="1" applyProtection="1">
      <alignment horizontal="center" vertical="center" wrapText="1"/>
    </xf>
    <xf numFmtId="0" fontId="6" fillId="0" borderId="2" xfId="50" applyFont="1" applyFill="1" applyBorder="1" applyAlignment="1" applyProtection="1">
      <alignment horizontal="left" vertical="center" wrapText="1"/>
    </xf>
    <xf numFmtId="0" fontId="5" fillId="0" borderId="2" xfId="50" applyFont="1" applyFill="1" applyBorder="1" applyAlignment="1" applyProtection="1">
      <alignment vertical="center"/>
    </xf>
    <xf numFmtId="176" fontId="2" fillId="0" borderId="2" xfId="50" applyNumberFormat="1" applyFont="1" applyFill="1" applyBorder="1" applyAlignment="1" applyProtection="1">
      <alignment horizontal="center" vertical="center"/>
    </xf>
    <xf numFmtId="176" fontId="5" fillId="0" borderId="2" xfId="50" applyNumberFormat="1" applyFont="1" applyFill="1" applyBorder="1" applyAlignment="1" applyProtection="1">
      <alignment vertical="center"/>
    </xf>
    <xf numFmtId="177" fontId="5" fillId="0" borderId="2" xfId="50" applyNumberFormat="1" applyFont="1" applyFill="1" applyBorder="1" applyAlignment="1" applyProtection="1">
      <alignment horizontal="center" vertical="center"/>
    </xf>
    <xf numFmtId="0" fontId="2" fillId="0" borderId="2" xfId="50" applyFont="1" applyFill="1" applyBorder="1" applyAlignment="1" applyProtection="1">
      <alignment horizontal="center" vertical="center" wrapText="1"/>
    </xf>
    <xf numFmtId="0" fontId="5" fillId="0" borderId="3" xfId="50" applyFont="1" applyFill="1" applyBorder="1" applyAlignment="1" applyProtection="1">
      <alignment vertical="center"/>
    </xf>
    <xf numFmtId="0" fontId="5" fillId="0" borderId="4" xfId="50" applyFont="1" applyFill="1" applyBorder="1" applyAlignment="1" applyProtection="1">
      <alignment vertical="center"/>
    </xf>
    <xf numFmtId="0" fontId="5" fillId="0" borderId="5" xfId="50" applyFont="1" applyFill="1" applyBorder="1" applyAlignment="1" applyProtection="1">
      <alignment vertical="center"/>
    </xf>
    <xf numFmtId="178" fontId="5" fillId="0" borderId="2" xfId="50" applyNumberFormat="1" applyFont="1" applyFill="1" applyBorder="1" applyAlignment="1" applyProtection="1">
      <alignment horizontal="left" vertical="center" wrapText="1"/>
    </xf>
    <xf numFmtId="178" fontId="7" fillId="0" borderId="2" xfId="0" applyNumberFormat="1" applyFont="1" applyBorder="1" applyAlignment="1">
      <alignment horizontal="left" vertical="center"/>
    </xf>
    <xf numFmtId="0" fontId="8" fillId="0" borderId="0" xfId="0" applyFont="1" applyAlignment="1">
      <alignment horizontal="center" vertical="center"/>
    </xf>
    <xf numFmtId="0" fontId="9" fillId="0" borderId="0" xfId="0" applyFont="1" applyAlignment="1">
      <alignment horizontal="justify" vertical="center"/>
    </xf>
    <xf numFmtId="0" fontId="10" fillId="0" borderId="0" xfId="0" applyFont="1" applyAlignment="1">
      <alignment horizontal="justify" vertical="center"/>
    </xf>
    <xf numFmtId="0" fontId="11" fillId="0" borderId="0" xfId="0" applyFont="1" applyAlignment="1">
      <alignment horizontal="justify" vertical="center"/>
    </xf>
    <xf numFmtId="0" fontId="11" fillId="0" borderId="0" xfId="0" applyFont="1" applyAlignment="1">
      <alignment horizontal="center" vertical="center"/>
    </xf>
    <xf numFmtId="0" fontId="0" fillId="2" borderId="0" xfId="0" applyFill="1">
      <alignment vertical="center"/>
    </xf>
    <xf numFmtId="0" fontId="0" fillId="2" borderId="0" xfId="0" applyFill="1" applyAlignment="1">
      <alignment horizontal="center" vertical="center"/>
    </xf>
    <xf numFmtId="179" fontId="0" fillId="2" borderId="0" xfId="0" applyNumberFormat="1" applyFill="1" applyAlignment="1">
      <alignment horizontal="center" vertical="center"/>
    </xf>
    <xf numFmtId="0" fontId="12" fillId="2" borderId="0" xfId="50" applyFont="1" applyFill="1" applyAlignment="1">
      <alignment horizontal="center" vertical="center" wrapText="1"/>
    </xf>
    <xf numFmtId="179" fontId="12" fillId="2" borderId="0" xfId="50" applyNumberFormat="1" applyFont="1" applyFill="1" applyAlignment="1">
      <alignment horizontal="center" vertical="center" wrapText="1"/>
    </xf>
    <xf numFmtId="0" fontId="13" fillId="2" borderId="2" xfId="50" applyFont="1" applyFill="1" applyBorder="1" applyAlignment="1">
      <alignment horizontal="center" vertical="center" wrapText="1"/>
    </xf>
    <xf numFmtId="0" fontId="14" fillId="2" borderId="2" xfId="50" applyFont="1" applyFill="1" applyBorder="1" applyAlignment="1">
      <alignment horizontal="center" vertical="center" wrapText="1"/>
    </xf>
    <xf numFmtId="179" fontId="14" fillId="2" borderId="2" xfId="50" applyNumberFormat="1" applyFont="1" applyFill="1" applyBorder="1" applyAlignment="1">
      <alignment horizontal="center" vertical="center" wrapText="1"/>
    </xf>
    <xf numFmtId="0" fontId="14" fillId="2" borderId="2" xfId="50" applyFont="1" applyFill="1" applyBorder="1" applyAlignment="1" applyProtection="1">
      <alignment vertical="center" wrapText="1"/>
    </xf>
    <xf numFmtId="0" fontId="15" fillId="2" borderId="2" xfId="50" applyFont="1" applyFill="1" applyBorder="1" applyAlignment="1">
      <alignment horizontal="center" vertical="center" wrapText="1"/>
    </xf>
    <xf numFmtId="179" fontId="15" fillId="2" borderId="2" xfId="50" applyNumberFormat="1" applyFont="1" applyFill="1" applyBorder="1" applyAlignment="1">
      <alignment horizontal="center" vertical="center" wrapText="1"/>
    </xf>
    <xf numFmtId="0" fontId="5" fillId="2" borderId="3" xfId="50" applyFont="1" applyFill="1" applyBorder="1" applyAlignment="1" applyProtection="1">
      <alignment horizontal="center" vertical="center" wrapText="1"/>
    </xf>
    <xf numFmtId="0" fontId="14" fillId="2" borderId="4" xfId="50" applyFont="1" applyFill="1" applyBorder="1" applyAlignment="1" applyProtection="1">
      <alignment horizontal="center" vertical="center" wrapText="1"/>
    </xf>
    <xf numFmtId="0" fontId="14" fillId="2" borderId="2" xfId="50" applyFont="1" applyFill="1" applyBorder="1" applyAlignment="1" applyProtection="1">
      <alignment horizontal="left" vertical="center" wrapText="1"/>
    </xf>
    <xf numFmtId="0" fontId="16" fillId="2" borderId="2" xfId="50" applyFont="1" applyFill="1" applyBorder="1" applyAlignment="1">
      <alignment horizontal="justify" vertical="center" wrapText="1"/>
    </xf>
    <xf numFmtId="9" fontId="15" fillId="2" borderId="2" xfId="50" applyNumberFormat="1" applyFont="1" applyFill="1" applyBorder="1" applyAlignment="1">
      <alignment horizontal="center" vertical="center" wrapText="1"/>
    </xf>
    <xf numFmtId="0" fontId="17" fillId="2" borderId="2" xfId="50" applyFont="1" applyFill="1" applyBorder="1" applyAlignment="1">
      <alignment horizontal="justify" vertical="center" wrapText="1"/>
    </xf>
    <xf numFmtId="0" fontId="18" fillId="2" borderId="2" xfId="50" applyFont="1" applyFill="1" applyBorder="1" applyAlignment="1">
      <alignment horizontal="justify" vertical="center" wrapText="1"/>
    </xf>
    <xf numFmtId="0" fontId="19" fillId="2" borderId="2" xfId="50" applyFont="1" applyFill="1" applyBorder="1" applyAlignment="1">
      <alignment horizontal="justify" vertical="center" wrapText="1"/>
    </xf>
    <xf numFmtId="0" fontId="2" fillId="2" borderId="2" xfId="50" applyFont="1" applyFill="1" applyBorder="1" applyAlignment="1">
      <alignment horizontal="center" vertical="center" wrapText="1"/>
    </xf>
    <xf numFmtId="180" fontId="2" fillId="2" borderId="2" xfId="50" applyNumberFormat="1" applyFont="1" applyFill="1" applyBorder="1" applyAlignment="1">
      <alignment horizontal="center" vertical="center" wrapText="1"/>
    </xf>
    <xf numFmtId="180" fontId="15" fillId="2" borderId="2" xfId="50" applyNumberFormat="1" applyFont="1" applyFill="1" applyBorder="1" applyAlignment="1">
      <alignment horizontal="center" vertical="center" wrapText="1"/>
    </xf>
    <xf numFmtId="0" fontId="13" fillId="2" borderId="2" xfId="50" applyFont="1" applyFill="1" applyBorder="1" applyAlignment="1">
      <alignment horizontal="justify" vertical="center" wrapText="1"/>
    </xf>
    <xf numFmtId="0" fontId="13" fillId="2" borderId="3" xfId="50" applyFont="1" applyFill="1" applyBorder="1" applyAlignment="1">
      <alignment horizontal="center" vertical="center" wrapText="1"/>
    </xf>
    <xf numFmtId="0" fontId="13" fillId="2" borderId="4" xfId="50" applyFont="1" applyFill="1" applyBorder="1" applyAlignment="1">
      <alignment horizontal="center" vertical="center" wrapText="1"/>
    </xf>
    <xf numFmtId="0" fontId="16" fillId="2" borderId="3" xfId="50" applyFont="1" applyFill="1" applyBorder="1" applyAlignment="1">
      <alignment horizontal="center" vertical="center" wrapText="1"/>
    </xf>
    <xf numFmtId="0" fontId="16" fillId="2" borderId="4" xfId="50" applyFont="1" applyFill="1" applyBorder="1" applyAlignment="1">
      <alignment horizontal="center" vertical="center" wrapText="1"/>
    </xf>
    <xf numFmtId="0" fontId="0" fillId="2" borderId="2" xfId="0" applyFill="1" applyBorder="1">
      <alignment vertical="center"/>
    </xf>
    <xf numFmtId="177" fontId="0" fillId="2" borderId="2" xfId="0" applyNumberFormat="1" applyFill="1" applyBorder="1">
      <alignment vertical="center"/>
    </xf>
    <xf numFmtId="0" fontId="0" fillId="2" borderId="0" xfId="0" applyFill="1" applyAlignment="1">
      <alignment vertical="center"/>
    </xf>
    <xf numFmtId="179" fontId="0" fillId="2" borderId="0" xfId="0" applyNumberFormat="1" applyFill="1" applyAlignment="1">
      <alignment vertical="center"/>
    </xf>
    <xf numFmtId="0" fontId="20" fillId="2" borderId="0" xfId="0" applyFont="1" applyFill="1">
      <alignment vertical="center"/>
    </xf>
    <xf numFmtId="0" fontId="7" fillId="2" borderId="2" xfId="0" applyFont="1" applyFill="1" applyBorder="1" applyAlignment="1">
      <alignment horizontal="center" vertical="center"/>
    </xf>
    <xf numFmtId="0" fontId="14" fillId="2" borderId="5" xfId="50" applyFont="1" applyFill="1" applyBorder="1" applyAlignment="1" applyProtection="1">
      <alignment horizontal="center" vertical="center" wrapText="1"/>
    </xf>
    <xf numFmtId="0" fontId="13" fillId="2" borderId="5" xfId="50" applyFont="1" applyFill="1" applyBorder="1" applyAlignment="1">
      <alignment horizontal="center" vertical="center" wrapText="1"/>
    </xf>
    <xf numFmtId="0" fontId="16" fillId="2" borderId="5" xfId="50" applyFont="1" applyFill="1" applyBorder="1" applyAlignment="1">
      <alignment horizontal="center" vertical="center" wrapText="1"/>
    </xf>
    <xf numFmtId="0" fontId="3" fillId="2" borderId="0" xfId="49" applyFont="1" applyFill="1" applyBorder="1" applyAlignment="1">
      <alignment horizontal="center" vertical="center"/>
    </xf>
    <xf numFmtId="0" fontId="2" fillId="2" borderId="0" xfId="49" applyFont="1" applyFill="1" applyBorder="1" applyAlignment="1"/>
    <xf numFmtId="0" fontId="21" fillId="2" borderId="2" xfId="50" applyFont="1" applyFill="1" applyBorder="1" applyAlignment="1">
      <alignment horizontal="center" vertical="center"/>
    </xf>
    <xf numFmtId="43" fontId="21" fillId="2" borderId="2" xfId="52" applyNumberFormat="1" applyFont="1" applyFill="1" applyBorder="1" applyAlignment="1">
      <alignment horizontal="center" vertical="center"/>
    </xf>
    <xf numFmtId="43" fontId="14" fillId="2" borderId="2" xfId="52" applyNumberFormat="1" applyFont="1" applyFill="1" applyBorder="1" applyAlignment="1">
      <alignment horizontal="center" vertical="center"/>
    </xf>
    <xf numFmtId="0" fontId="15" fillId="2" borderId="2" xfId="50" applyFont="1" applyFill="1" applyBorder="1" applyAlignment="1">
      <alignment horizontal="left" vertical="center"/>
    </xf>
    <xf numFmtId="181" fontId="15" fillId="2" borderId="2" xfId="50" applyNumberFormat="1" applyFont="1" applyFill="1" applyBorder="1" applyAlignment="1">
      <alignment horizontal="center" vertical="center"/>
    </xf>
    <xf numFmtId="0" fontId="15" fillId="2" borderId="2" xfId="50" applyFont="1" applyFill="1" applyBorder="1">
      <alignment vertical="center"/>
    </xf>
    <xf numFmtId="0" fontId="2" fillId="2" borderId="2" xfId="50" applyFont="1" applyFill="1" applyBorder="1" applyAlignment="1">
      <alignment horizontal="left" vertical="center"/>
    </xf>
    <xf numFmtId="0" fontId="20" fillId="2" borderId="2" xfId="0" applyFont="1" applyFill="1" applyBorder="1">
      <alignment vertical="center"/>
    </xf>
    <xf numFmtId="181" fontId="0" fillId="2" borderId="2" xfId="0" applyNumberFormat="1" applyFill="1" applyBorder="1">
      <alignment vertical="center"/>
    </xf>
    <xf numFmtId="0" fontId="0" fillId="3" borderId="0" xfId="0" applyFill="1">
      <alignment vertical="center"/>
    </xf>
    <xf numFmtId="0" fontId="3" fillId="3" borderId="0" xfId="49" applyFont="1" applyFill="1" applyAlignment="1">
      <alignment horizontal="center" vertical="center"/>
    </xf>
    <xf numFmtId="0" fontId="20" fillId="0" borderId="2" xfId="51" applyBorder="1">
      <alignment vertical="center"/>
    </xf>
    <xf numFmtId="0" fontId="21" fillId="3" borderId="2" xfId="49" applyFont="1" applyFill="1" applyBorder="1" applyAlignment="1">
      <alignment horizontal="center" vertical="center" wrapText="1"/>
    </xf>
    <xf numFmtId="0" fontId="21" fillId="3" borderId="2" xfId="49" applyFont="1" applyFill="1" applyBorder="1" applyAlignment="1">
      <alignment horizontal="center" vertical="center"/>
    </xf>
    <xf numFmtId="0" fontId="21" fillId="3" borderId="6" xfId="49" applyFont="1" applyFill="1" applyBorder="1" applyAlignment="1">
      <alignment horizontal="center" vertical="center" wrapText="1"/>
    </xf>
    <xf numFmtId="0" fontId="15" fillId="3" borderId="0" xfId="49" applyFont="1" applyFill="1">
      <alignment vertical="center"/>
    </xf>
    <xf numFmtId="0" fontId="7" fillId="0" borderId="2" xfId="51" applyFont="1" applyBorder="1">
      <alignment vertical="center"/>
    </xf>
    <xf numFmtId="0" fontId="2" fillId="3" borderId="2" xfId="49" applyFont="1" applyFill="1" applyBorder="1" applyAlignment="1" applyProtection="1">
      <alignment horizontal="left" vertical="center"/>
    </xf>
    <xf numFmtId="0" fontId="15" fillId="3" borderId="2" xfId="49" applyFont="1" applyFill="1" applyBorder="1" applyAlignment="1">
      <alignment horizontal="center" vertical="center"/>
    </xf>
    <xf numFmtId="182" fontId="15" fillId="3" borderId="2" xfId="49" applyNumberFormat="1" applyFont="1" applyFill="1" applyBorder="1" applyAlignment="1">
      <alignment horizontal="center" vertical="center"/>
    </xf>
    <xf numFmtId="0" fontId="15" fillId="3" borderId="2" xfId="49" applyFont="1" applyFill="1" applyBorder="1" applyAlignment="1" applyProtection="1">
      <alignment horizontal="left" vertical="center" indent="2"/>
    </xf>
    <xf numFmtId="181" fontId="16" fillId="3" borderId="2" xfId="49" applyNumberFormat="1" applyFont="1" applyFill="1" applyBorder="1" applyAlignment="1">
      <alignment horizontal="left" vertical="center"/>
    </xf>
    <xf numFmtId="181" fontId="18" fillId="3" borderId="2" xfId="49" applyNumberFormat="1" applyFont="1" applyFill="1" applyBorder="1" applyAlignment="1">
      <alignment horizontal="left" vertical="center"/>
    </xf>
    <xf numFmtId="0" fontId="15" fillId="3" borderId="6" xfId="49" applyFont="1" applyFill="1" applyBorder="1" applyAlignment="1">
      <alignment horizontal="center" vertical="center"/>
    </xf>
    <xf numFmtId="0" fontId="15" fillId="3" borderId="7" xfId="49" applyFont="1" applyFill="1" applyBorder="1" applyAlignment="1">
      <alignment horizontal="center" vertical="center"/>
    </xf>
    <xf numFmtId="0" fontId="15" fillId="3" borderId="8" xfId="49" applyFont="1" applyFill="1" applyBorder="1" applyAlignment="1">
      <alignment horizontal="center" vertical="center"/>
    </xf>
    <xf numFmtId="0" fontId="15" fillId="3" borderId="2" xfId="49" applyFont="1" applyFill="1" applyBorder="1">
      <alignment vertical="center"/>
    </xf>
    <xf numFmtId="0" fontId="22" fillId="0" borderId="2" xfId="51" applyFont="1" applyBorder="1" applyAlignment="1">
      <alignment horizontal="center" vertical="center"/>
    </xf>
    <xf numFmtId="0" fontId="20" fillId="0" borderId="2" xfId="51" applyBorder="1" applyAlignment="1">
      <alignment horizontal="center" vertical="center"/>
    </xf>
    <xf numFmtId="0" fontId="23" fillId="0" borderId="2" xfId="49" applyFont="1" applyFill="1" applyBorder="1" applyAlignment="1">
      <alignment horizontal="center" vertical="center" wrapText="1"/>
    </xf>
    <xf numFmtId="0" fontId="3" fillId="0" borderId="0" xfId="49" applyFont="1" applyAlignment="1">
      <alignment horizontal="center" vertical="center"/>
    </xf>
    <xf numFmtId="0" fontId="21" fillId="0" borderId="2" xfId="49" applyFont="1" applyFill="1" applyBorder="1" applyAlignment="1">
      <alignment horizontal="center" vertical="center" wrapText="1"/>
    </xf>
    <xf numFmtId="0" fontId="15" fillId="0" borderId="2" xfId="49" applyFont="1" applyBorder="1" applyAlignment="1">
      <alignment horizontal="center" vertical="center"/>
    </xf>
    <xf numFmtId="182" fontId="15" fillId="0" borderId="2" xfId="49" applyNumberFormat="1" applyFont="1" applyBorder="1" applyAlignment="1">
      <alignment horizontal="center" vertical="center"/>
    </xf>
    <xf numFmtId="0" fontId="5" fillId="0" borderId="2" xfId="49" applyFont="1" applyBorder="1" applyAlignment="1">
      <alignment horizontal="center" vertical="center"/>
    </xf>
    <xf numFmtId="0" fontId="14" fillId="0" borderId="2" xfId="49" applyFont="1" applyBorder="1">
      <alignment vertical="center"/>
    </xf>
    <xf numFmtId="0" fontId="7" fillId="0" borderId="6" xfId="0" applyFont="1" applyBorder="1" applyAlignment="1">
      <alignment horizontal="center" vertical="center"/>
    </xf>
    <xf numFmtId="0" fontId="20" fillId="0" borderId="9" xfId="0" applyFon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7" fillId="0" borderId="8" xfId="0" applyFont="1" applyBorder="1" applyAlignment="1">
      <alignment horizontal="center" vertical="center"/>
    </xf>
    <xf numFmtId="0" fontId="0" fillId="0" borderId="12" xfId="0" applyBorder="1"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xf>
    <xf numFmtId="0" fontId="24" fillId="0" borderId="0" xfId="49" applyFont="1" applyFill="1" applyAlignment="1" applyProtection="1">
      <alignment vertical="center" wrapText="1"/>
    </xf>
    <xf numFmtId="0" fontId="2" fillId="0" borderId="0" xfId="49" applyAlignment="1">
      <alignment horizontal="center" vertical="center"/>
    </xf>
    <xf numFmtId="0" fontId="3" fillId="0" borderId="0" xfId="49" applyFont="1" applyFill="1" applyAlignment="1" applyProtection="1">
      <alignment horizontal="center" vertical="center" wrapText="1"/>
    </xf>
    <xf numFmtId="0" fontId="25" fillId="0" borderId="1" xfId="49" applyFont="1" applyFill="1" applyBorder="1" applyAlignment="1" applyProtection="1">
      <alignment horizontal="left" vertical="center" wrapText="1"/>
    </xf>
    <xf numFmtId="0" fontId="25" fillId="0" borderId="1" xfId="49" applyFont="1" applyFill="1" applyBorder="1" applyAlignment="1" applyProtection="1">
      <alignment horizontal="center" vertical="center" wrapText="1"/>
    </xf>
    <xf numFmtId="0" fontId="5" fillId="0" borderId="3" xfId="49" applyFont="1" applyFill="1" applyBorder="1" applyAlignment="1" applyProtection="1">
      <alignment horizontal="center" vertical="center" wrapText="1"/>
    </xf>
    <xf numFmtId="0" fontId="14" fillId="0" borderId="2" xfId="49" applyFont="1" applyFill="1" applyBorder="1" applyAlignment="1" applyProtection="1">
      <alignment horizontal="center" vertical="center" wrapText="1"/>
    </xf>
    <xf numFmtId="0" fontId="5" fillId="0" borderId="3" xfId="49" applyFont="1" applyFill="1" applyBorder="1" applyAlignment="1" applyProtection="1">
      <alignment horizontal="left" vertical="center"/>
    </xf>
    <xf numFmtId="0" fontId="15" fillId="0" borderId="2" xfId="49" applyFont="1" applyFill="1" applyBorder="1" applyAlignment="1" applyProtection="1">
      <alignment horizontal="center" vertical="center" wrapText="1"/>
    </xf>
    <xf numFmtId="0" fontId="15" fillId="0" borderId="3" xfId="49" applyFont="1" applyFill="1" applyBorder="1" applyAlignment="1" applyProtection="1">
      <alignment vertical="center"/>
    </xf>
    <xf numFmtId="182" fontId="15" fillId="0" borderId="2" xfId="49" applyNumberFormat="1" applyFont="1" applyFill="1" applyBorder="1" applyAlignment="1" applyProtection="1">
      <alignment horizontal="center" vertical="center" wrapText="1"/>
    </xf>
    <xf numFmtId="0" fontId="5" fillId="0" borderId="3" xfId="49" applyFont="1" applyFill="1" applyBorder="1" applyAlignment="1" applyProtection="1">
      <alignment vertical="center"/>
    </xf>
    <xf numFmtId="10" fontId="15" fillId="0" borderId="2" xfId="49" applyNumberFormat="1" applyFont="1" applyFill="1" applyBorder="1" applyAlignment="1" applyProtection="1">
      <alignment horizontal="center" vertical="center" wrapText="1"/>
    </xf>
    <xf numFmtId="0" fontId="2" fillId="0" borderId="3" xfId="49" applyFont="1" applyFill="1" applyBorder="1" applyAlignment="1" applyProtection="1">
      <alignment vertical="center"/>
    </xf>
    <xf numFmtId="9" fontId="15" fillId="0" borderId="2" xfId="3" applyNumberFormat="1" applyFont="1" applyFill="1" applyBorder="1" applyAlignment="1" applyProtection="1">
      <alignment horizontal="center" vertical="center" wrapText="1"/>
    </xf>
    <xf numFmtId="9" fontId="15" fillId="0" borderId="2" xfId="3" applyFont="1" applyFill="1" applyBorder="1" applyAlignment="1" applyProtection="1">
      <alignment horizontal="center" vertical="center" wrapText="1"/>
    </xf>
    <xf numFmtId="181" fontId="15" fillId="0" borderId="2" xfId="49" applyNumberFormat="1" applyFont="1" applyFill="1" applyBorder="1" applyAlignment="1" applyProtection="1">
      <alignment horizontal="center" vertical="center" wrapText="1"/>
    </xf>
    <xf numFmtId="177" fontId="15" fillId="0" borderId="2" xfId="49" applyNumberFormat="1" applyFont="1" applyFill="1" applyBorder="1" applyAlignment="1" applyProtection="1">
      <alignment horizontal="center" vertical="center" wrapText="1"/>
    </xf>
    <xf numFmtId="176" fontId="14" fillId="0" borderId="2" xfId="49" applyNumberFormat="1" applyFont="1" applyFill="1" applyBorder="1" applyAlignment="1" applyProtection="1">
      <alignment horizontal="center" vertical="center" wrapText="1"/>
    </xf>
    <xf numFmtId="176" fontId="15" fillId="0" borderId="2" xfId="49" applyNumberFormat="1" applyFont="1" applyFill="1" applyBorder="1" applyAlignment="1" applyProtection="1">
      <alignment horizontal="center" vertical="center" wrapText="1"/>
    </xf>
    <xf numFmtId="0" fontId="15" fillId="0" borderId="3" xfId="49" applyFont="1" applyFill="1" applyBorder="1" applyAlignment="1" applyProtection="1">
      <alignment horizontal="left" vertical="center"/>
    </xf>
    <xf numFmtId="176" fontId="15" fillId="0" borderId="3" xfId="49" applyNumberFormat="1" applyFont="1" applyFill="1" applyBorder="1" applyAlignment="1" applyProtection="1">
      <alignment horizontal="center" vertical="center" wrapText="1"/>
    </xf>
    <xf numFmtId="176" fontId="15" fillId="0" borderId="4" xfId="49" applyNumberFormat="1" applyFont="1" applyFill="1" applyBorder="1" applyAlignment="1" applyProtection="1">
      <alignment horizontal="center" vertical="center" wrapText="1"/>
    </xf>
    <xf numFmtId="176" fontId="15" fillId="0" borderId="5" xfId="49" applyNumberFormat="1" applyFont="1" applyFill="1" applyBorder="1" applyAlignment="1" applyProtection="1">
      <alignment horizontal="center" vertical="center" wrapText="1"/>
    </xf>
    <xf numFmtId="0" fontId="7" fillId="3" borderId="0" xfId="0" applyFont="1" applyFill="1">
      <alignment vertical="center"/>
    </xf>
    <xf numFmtId="0" fontId="0" fillId="3" borderId="0" xfId="0" applyFill="1" applyAlignment="1">
      <alignment horizontal="center" vertical="center"/>
    </xf>
    <xf numFmtId="0" fontId="24" fillId="3" borderId="0" xfId="49" applyFont="1" applyFill="1">
      <alignment vertical="center"/>
    </xf>
    <xf numFmtId="0" fontId="2" fillId="3" borderId="0" xfId="49" applyFill="1" applyAlignment="1">
      <alignment horizontal="center" vertical="center"/>
    </xf>
    <xf numFmtId="0" fontId="15" fillId="3" borderId="0" xfId="49" applyFont="1" applyFill="1" applyAlignment="1">
      <alignment horizontal="center" vertical="center"/>
    </xf>
    <xf numFmtId="0" fontId="14" fillId="3" borderId="2" xfId="49" applyFont="1" applyFill="1" applyBorder="1" applyAlignment="1" applyProtection="1">
      <alignment horizontal="center" vertical="center"/>
    </xf>
    <xf numFmtId="0" fontId="14" fillId="3" borderId="2" xfId="49" applyFont="1" applyFill="1" applyBorder="1" applyAlignment="1" applyProtection="1">
      <alignment horizontal="center" vertical="center" wrapText="1"/>
    </xf>
    <xf numFmtId="0" fontId="5" fillId="3" borderId="2" xfId="49" applyFont="1" applyFill="1" applyBorder="1" applyAlignment="1" applyProtection="1">
      <alignment vertical="center"/>
    </xf>
    <xf numFmtId="0" fontId="14" fillId="3" borderId="2" xfId="49" applyFont="1" applyFill="1" applyBorder="1" applyAlignment="1">
      <alignment horizontal="center" vertical="center"/>
    </xf>
    <xf numFmtId="0" fontId="15" fillId="3" borderId="2" xfId="49" applyFont="1" applyFill="1" applyBorder="1" applyAlignment="1" applyProtection="1">
      <alignment horizontal="left" vertical="center" indent="1"/>
    </xf>
    <xf numFmtId="49" fontId="26" fillId="3" borderId="2" xfId="49" applyNumberFormat="1" applyFont="1" applyFill="1" applyBorder="1" applyAlignment="1" applyProtection="1">
      <alignment horizontal="left" vertical="center"/>
    </xf>
    <xf numFmtId="49" fontId="16" fillId="3" borderId="2" xfId="49" applyNumberFormat="1" applyFont="1" applyFill="1" applyBorder="1" applyAlignment="1" applyProtection="1">
      <alignment horizontal="left" vertical="center"/>
    </xf>
    <xf numFmtId="49" fontId="18" fillId="3" borderId="2" xfId="49" applyNumberFormat="1" applyFont="1" applyFill="1" applyBorder="1" applyAlignment="1" applyProtection="1">
      <alignment horizontal="left" vertical="center"/>
    </xf>
    <xf numFmtId="49" fontId="27" fillId="3" borderId="2" xfId="49" applyNumberFormat="1" applyFont="1" applyFill="1" applyBorder="1" applyAlignment="1" applyProtection="1">
      <alignment horizontal="left" vertical="center"/>
    </xf>
    <xf numFmtId="0" fontId="5" fillId="3" borderId="2" xfId="49" applyFont="1" applyFill="1" applyBorder="1" applyAlignment="1" applyProtection="1">
      <alignment horizontal="left" vertical="center" wrapText="1"/>
    </xf>
    <xf numFmtId="0" fontId="14" fillId="3" borderId="2" xfId="49" applyFont="1" applyFill="1" applyBorder="1" applyAlignment="1" applyProtection="1">
      <alignment horizontal="left" vertical="center" wrapText="1"/>
    </xf>
    <xf numFmtId="0" fontId="5" fillId="3" borderId="2" xfId="49" applyFont="1" applyFill="1" applyBorder="1">
      <alignment vertical="center"/>
    </xf>
    <xf numFmtId="0" fontId="2" fillId="0" borderId="2" xfId="50" applyFont="1" applyFill="1" applyBorder="1" applyAlignment="1" applyProtection="1">
      <alignment vertical="center"/>
    </xf>
    <xf numFmtId="176" fontId="2" fillId="0" borderId="2" xfId="50" applyNumberFormat="1" applyFont="1" applyFill="1" applyBorder="1" applyAlignment="1" applyProtection="1">
      <alignment vertical="center"/>
    </xf>
    <xf numFmtId="0" fontId="5" fillId="0" borderId="2" xfId="50" applyFont="1" applyFill="1" applyBorder="1" applyAlignment="1" applyProtection="1">
      <alignment horizontal="center" vertical="center"/>
    </xf>
    <xf numFmtId="0" fontId="2" fillId="0" borderId="2" xfId="50" applyFont="1" applyFill="1" applyBorder="1" applyAlignment="1" applyProtection="1">
      <alignment horizontal="left" vertical="center" indent="1"/>
    </xf>
    <xf numFmtId="0" fontId="24" fillId="0" borderId="0" xfId="50" applyFont="1">
      <alignment vertical="center"/>
    </xf>
    <xf numFmtId="0" fontId="3" fillId="0" borderId="0" xfId="50" applyFont="1" applyFill="1" applyAlignment="1" applyProtection="1">
      <alignment horizontal="center" vertical="center"/>
    </xf>
    <xf numFmtId="0" fontId="5" fillId="0" borderId="0" xfId="50" applyFont="1" applyFill="1" applyAlignment="1" applyProtection="1">
      <alignment horizontal="left" vertical="center"/>
    </xf>
    <xf numFmtId="0" fontId="14" fillId="0" borderId="0" xfId="50" applyFont="1" applyFill="1" applyAlignment="1" applyProtection="1">
      <alignment horizontal="center" vertical="center"/>
    </xf>
    <xf numFmtId="0" fontId="28" fillId="0" borderId="2" xfId="50" applyFont="1" applyFill="1" applyBorder="1" applyAlignment="1">
      <alignment horizontal="center" vertical="center" wrapText="1"/>
    </xf>
    <xf numFmtId="0" fontId="14" fillId="0" borderId="2" xfId="50" applyFont="1" applyBorder="1" applyAlignment="1">
      <alignment horizontal="center" vertical="center"/>
    </xf>
    <xf numFmtId="0" fontId="28" fillId="0" borderId="2" xfId="50" applyFont="1" applyFill="1" applyBorder="1" applyAlignment="1">
      <alignment horizontal="left" vertical="center" wrapText="1"/>
    </xf>
    <xf numFmtId="0" fontId="15" fillId="0" borderId="2" xfId="50" applyFont="1" applyBorder="1" applyAlignment="1">
      <alignment horizontal="center" vertical="center"/>
    </xf>
    <xf numFmtId="0" fontId="15" fillId="0" borderId="6" xfId="50" applyFont="1" applyBorder="1" applyAlignment="1">
      <alignment horizontal="left" vertical="center" wrapText="1"/>
    </xf>
    <xf numFmtId="0" fontId="26" fillId="0" borderId="2" xfId="50" applyFont="1" applyFill="1" applyBorder="1" applyAlignment="1">
      <alignment horizontal="left" vertical="center" wrapText="1"/>
    </xf>
    <xf numFmtId="0" fontId="26" fillId="0" borderId="2" xfId="50" applyFont="1" applyFill="1" applyBorder="1" applyAlignment="1">
      <alignment horizontal="center" vertical="center" wrapText="1"/>
    </xf>
    <xf numFmtId="0" fontId="15" fillId="0" borderId="7" xfId="50" applyFont="1" applyBorder="1" applyAlignment="1">
      <alignment horizontal="left" vertical="center" wrapText="1"/>
    </xf>
    <xf numFmtId="0" fontId="16" fillId="0" borderId="2" xfId="50" applyFont="1" applyFill="1" applyBorder="1" applyAlignment="1">
      <alignment horizontal="left" vertical="center" wrapText="1"/>
    </xf>
    <xf numFmtId="0" fontId="16" fillId="0" borderId="2" xfId="50" applyFont="1" applyFill="1" applyBorder="1" applyAlignment="1">
      <alignment horizontal="center" vertical="center" wrapText="1"/>
    </xf>
    <xf numFmtId="182" fontId="15" fillId="0" borderId="2" xfId="50" applyNumberFormat="1" applyFont="1" applyBorder="1" applyAlignment="1">
      <alignment horizontal="center" vertical="center"/>
    </xf>
    <xf numFmtId="0" fontId="14" fillId="0" borderId="2" xfId="50" applyFont="1" applyBorder="1" applyAlignment="1">
      <alignment horizontal="left" vertical="center"/>
    </xf>
    <xf numFmtId="0" fontId="15" fillId="0" borderId="8" xfId="50" applyFont="1" applyBorder="1" applyAlignment="1">
      <alignment horizontal="left" vertical="center" wrapText="1"/>
    </xf>
    <xf numFmtId="0" fontId="21" fillId="0" borderId="2" xfId="50" applyFont="1" applyFill="1" applyBorder="1" applyAlignment="1">
      <alignment horizontal="left" vertical="center"/>
    </xf>
    <xf numFmtId="0" fontId="21" fillId="0" borderId="2" xfId="50" applyFont="1" applyFill="1" applyBorder="1" applyAlignment="1">
      <alignment horizontal="center" vertical="center"/>
    </xf>
    <xf numFmtId="0" fontId="15" fillId="0" borderId="2" xfId="50" applyFont="1" applyBorder="1" applyAlignment="1">
      <alignment horizontal="center" vertical="center" wrapText="1"/>
    </xf>
    <xf numFmtId="0" fontId="15" fillId="0" borderId="2" xfId="50" applyFont="1" applyFill="1" applyBorder="1" applyAlignment="1" applyProtection="1">
      <alignment horizontal="left" vertical="center" indent="1"/>
    </xf>
    <xf numFmtId="0" fontId="15" fillId="0" borderId="2" xfId="50" applyFont="1" applyFill="1" applyBorder="1" applyAlignment="1" applyProtection="1">
      <alignment horizontal="center" vertical="center"/>
    </xf>
    <xf numFmtId="0" fontId="15" fillId="0" borderId="2" xfId="50" applyFont="1" applyFill="1" applyBorder="1" applyAlignment="1" applyProtection="1">
      <alignment horizontal="left" vertical="center" indent="2"/>
    </xf>
    <xf numFmtId="181" fontId="16" fillId="0" borderId="2" xfId="50" applyNumberFormat="1" applyFont="1" applyFill="1" applyBorder="1" applyAlignment="1">
      <alignment horizontal="left" vertical="center"/>
    </xf>
    <xf numFmtId="181" fontId="16" fillId="0" borderId="2" xfId="50" applyNumberFormat="1" applyFont="1" applyFill="1" applyBorder="1" applyAlignment="1">
      <alignment horizontal="center" vertical="center"/>
    </xf>
    <xf numFmtId="181" fontId="18" fillId="0" borderId="2" xfId="50" applyNumberFormat="1" applyFont="1" applyFill="1" applyBorder="1" applyAlignment="1">
      <alignment horizontal="left" vertical="center"/>
    </xf>
    <xf numFmtId="181" fontId="18" fillId="0" borderId="2" xfId="50" applyNumberFormat="1" applyFont="1" applyFill="1" applyBorder="1" applyAlignment="1">
      <alignment horizontal="center" vertical="center"/>
    </xf>
    <xf numFmtId="0" fontId="15" fillId="0" borderId="2" xfId="50" applyFont="1" applyBorder="1">
      <alignment vertical="center"/>
    </xf>
    <xf numFmtId="0" fontId="14" fillId="0" borderId="2" xfId="50" applyFont="1" applyFill="1" applyBorder="1" applyAlignment="1" applyProtection="1">
      <alignment vertical="center" wrapText="1"/>
    </xf>
    <xf numFmtId="0" fontId="14" fillId="0" borderId="2" xfId="50" applyFont="1" applyFill="1" applyBorder="1" applyAlignment="1" applyProtection="1">
      <alignment horizontal="center" vertical="center" wrapText="1"/>
    </xf>
    <xf numFmtId="49" fontId="16" fillId="0" borderId="2" xfId="50" applyNumberFormat="1" applyFont="1" applyFill="1" applyBorder="1" applyAlignment="1" applyProtection="1">
      <alignment horizontal="left" vertical="center"/>
    </xf>
    <xf numFmtId="49" fontId="16" fillId="0" borderId="2" xfId="50" applyNumberFormat="1" applyFont="1" applyFill="1" applyBorder="1" applyAlignment="1" applyProtection="1">
      <alignment horizontal="center" vertical="center"/>
    </xf>
    <xf numFmtId="0" fontId="3" fillId="0" borderId="0" xfId="49" applyFont="1" applyFill="1" applyAlignment="1" applyProtection="1">
      <alignment horizontal="center" vertical="center"/>
    </xf>
    <xf numFmtId="0" fontId="29" fillId="0" borderId="0" xfId="49" applyFont="1" applyAlignment="1">
      <alignment horizontal="center" vertical="center" wrapText="1"/>
    </xf>
    <xf numFmtId="0" fontId="24" fillId="0" borderId="0" xfId="49" applyFont="1" applyBorder="1" applyAlignment="1">
      <alignment horizontal="justify" wrapText="1"/>
    </xf>
    <xf numFmtId="0" fontId="2" fillId="0" borderId="14" xfId="49" applyFont="1" applyBorder="1" applyAlignment="1">
      <alignment horizontal="justify" wrapText="1"/>
    </xf>
    <xf numFmtId="0" fontId="30" fillId="0" borderId="14" xfId="49" applyFont="1" applyBorder="1" applyAlignment="1">
      <alignment horizontal="justify" wrapText="1"/>
    </xf>
    <xf numFmtId="57" fontId="30" fillId="0" borderId="15" xfId="49" applyNumberFormat="1" applyFont="1" applyBorder="1" applyAlignment="1">
      <alignment horizontal="justify"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4" xfId="51"/>
    <cellStyle name="千位分隔 2" xfId="52"/>
    <cellStyle name="千位分隔 3" xfId="53"/>
  </cellStyles>
  <tableStyles count="0" defaultTableStyle="TableStyleMedium2" defaultPivotStyle="PivotStyleLight16"/>
  <colors>
    <mruColors>
      <color rgb="00F9FBFA"/>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0"/>
  <sheetViews>
    <sheetView workbookViewId="0">
      <selection activeCell="J15" sqref="J15"/>
    </sheetView>
  </sheetViews>
  <sheetFormatPr defaultColWidth="9" defaultRowHeight="13.5" outlineLevelCol="1"/>
  <cols>
    <col min="1" max="1" width="27.125" customWidth="1"/>
    <col min="2" max="2" width="35.75" customWidth="1"/>
  </cols>
  <sheetData>
    <row r="1" ht="25.5" spans="1:2">
      <c r="A1" s="188" t="s">
        <v>0</v>
      </c>
      <c r="B1" s="188"/>
    </row>
    <row r="2" ht="20.25" spans="1:2">
      <c r="A2" s="189" t="s">
        <v>1</v>
      </c>
      <c r="B2" s="189"/>
    </row>
    <row r="3" ht="21" spans="1:2">
      <c r="A3" s="190" t="s">
        <v>2</v>
      </c>
      <c r="B3" s="191" t="s">
        <v>3</v>
      </c>
    </row>
    <row r="4" ht="21" spans="1:2">
      <c r="A4" s="190" t="s">
        <v>4</v>
      </c>
      <c r="B4" s="191" t="s">
        <v>5</v>
      </c>
    </row>
    <row r="5" ht="21" spans="1:2">
      <c r="A5" s="190" t="s">
        <v>6</v>
      </c>
      <c r="B5" s="191" t="s">
        <v>7</v>
      </c>
    </row>
    <row r="6" ht="21" spans="1:2">
      <c r="A6" s="190" t="s">
        <v>8</v>
      </c>
      <c r="B6" s="191" t="s">
        <v>9</v>
      </c>
    </row>
    <row r="7" ht="21" spans="1:2">
      <c r="A7" s="190" t="s">
        <v>10</v>
      </c>
      <c r="B7" s="191" t="s">
        <v>11</v>
      </c>
    </row>
    <row r="8" ht="21" spans="1:2">
      <c r="A8" s="190" t="s">
        <v>12</v>
      </c>
      <c r="B8" s="192">
        <v>426100</v>
      </c>
    </row>
    <row r="9" ht="42" customHeight="1" spans="1:2">
      <c r="A9" s="190" t="s">
        <v>13</v>
      </c>
      <c r="B9" s="192">
        <v>18874661028</v>
      </c>
    </row>
    <row r="10" ht="45.75" customHeight="1" spans="1:2">
      <c r="A10" s="190" t="s">
        <v>14</v>
      </c>
      <c r="B10" s="193">
        <v>44743</v>
      </c>
    </row>
  </sheetData>
  <mergeCells count="2">
    <mergeCell ref="A1:B1"/>
    <mergeCell ref="A2:B2"/>
  </mergeCells>
  <pageMargins left="1.48" right="0.7" top="1.45" bottom="0.75" header="0.25"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3"/>
  <sheetViews>
    <sheetView tabSelected="1" workbookViewId="0">
      <selection activeCell="A2" sqref="A2"/>
    </sheetView>
  </sheetViews>
  <sheetFormatPr defaultColWidth="9" defaultRowHeight="13.5"/>
  <cols>
    <col min="1" max="1" width="83.625" customWidth="1"/>
  </cols>
  <sheetData>
    <row r="1" ht="74.25" customHeight="1" spans="1:1">
      <c r="A1" s="24" t="s">
        <v>272</v>
      </c>
    </row>
    <row r="2" ht="58.5" spans="1:1">
      <c r="A2" s="25" t="s">
        <v>273</v>
      </c>
    </row>
    <row r="3" ht="19.5" spans="1:1">
      <c r="A3" s="25" t="s">
        <v>274</v>
      </c>
    </row>
    <row r="4" ht="39" spans="1:1">
      <c r="A4" s="25" t="s">
        <v>275</v>
      </c>
    </row>
    <row r="5" ht="19.5" spans="1:1">
      <c r="A5" s="26"/>
    </row>
    <row r="9" ht="19.5" spans="1:1">
      <c r="A9" s="27"/>
    </row>
    <row r="10" ht="19.5" spans="1:1">
      <c r="A10" s="27"/>
    </row>
    <row r="11" ht="36.75" customHeight="1" spans="1:1">
      <c r="A11" s="27" t="s">
        <v>276</v>
      </c>
    </row>
    <row r="12" ht="32.25" customHeight="1" spans="1:1">
      <c r="A12" s="25" t="s">
        <v>277</v>
      </c>
    </row>
    <row r="13" ht="55.5" customHeight="1" spans="1:1">
      <c r="A13" s="28" t="s">
        <v>278</v>
      </c>
    </row>
  </sheetData>
  <pageMargins left="0.708661417322835" right="0.708661417322835" top="1.53543307086614" bottom="0.748031496062992" header="0.31496062992126" footer="0.31496062992126"/>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3"/>
  <sheetViews>
    <sheetView workbookViewId="0">
      <selection activeCell="M18" sqref="M18"/>
    </sheetView>
  </sheetViews>
  <sheetFormatPr defaultColWidth="9" defaultRowHeight="13.5" outlineLevelCol="3"/>
  <cols>
    <col min="1" max="1" width="27.5" customWidth="1"/>
    <col min="2" max="2" width="18.5" customWidth="1"/>
    <col min="3" max="3" width="17.625" customWidth="1"/>
    <col min="4" max="4" width="17.875" customWidth="1"/>
  </cols>
  <sheetData>
    <row r="1" ht="20.25" spans="1:4">
      <c r="A1" s="1" t="s">
        <v>279</v>
      </c>
      <c r="B1" s="2"/>
      <c r="C1" s="3"/>
      <c r="D1" s="3"/>
    </row>
    <row r="2" ht="25.5" spans="1:4">
      <c r="A2" s="4" t="s">
        <v>280</v>
      </c>
      <c r="B2" s="4"/>
      <c r="C2" s="4"/>
      <c r="D2" s="4"/>
    </row>
    <row r="3" spans="1:4">
      <c r="A3" s="5" t="s">
        <v>55</v>
      </c>
      <c r="B3" s="6"/>
      <c r="C3" s="3"/>
      <c r="D3" s="3"/>
    </row>
    <row r="4" ht="27" customHeight="1" spans="1:4">
      <c r="A4" s="7" t="s">
        <v>56</v>
      </c>
      <c r="B4" s="7" t="s">
        <v>57</v>
      </c>
      <c r="C4" s="7" t="s">
        <v>58</v>
      </c>
      <c r="D4" s="7" t="s">
        <v>59</v>
      </c>
    </row>
    <row r="5" ht="18.95" customHeight="1" spans="1:4">
      <c r="A5" s="8" t="s">
        <v>281</v>
      </c>
      <c r="B5" s="9"/>
      <c r="C5" s="9"/>
      <c r="D5" s="9"/>
    </row>
    <row r="6" ht="18.95" customHeight="1" spans="1:4">
      <c r="A6" s="10" t="s">
        <v>282</v>
      </c>
      <c r="B6" s="9">
        <v>8451326</v>
      </c>
      <c r="C6" s="9">
        <v>10266520</v>
      </c>
      <c r="D6" s="9">
        <v>13268261</v>
      </c>
    </row>
    <row r="7" ht="18.95" customHeight="1" spans="1:4">
      <c r="A7" s="10" t="s">
        <v>283</v>
      </c>
      <c r="B7" s="9">
        <v>7301136</v>
      </c>
      <c r="C7" s="9">
        <v>9140500</v>
      </c>
      <c r="D7" s="9">
        <v>11614906</v>
      </c>
    </row>
    <row r="8" ht="18.95" customHeight="1" spans="1:4">
      <c r="A8" s="10" t="s">
        <v>284</v>
      </c>
      <c r="B8" s="9">
        <v>1150190</v>
      </c>
      <c r="C8" s="9">
        <v>1126020</v>
      </c>
      <c r="D8" s="9">
        <v>1653355</v>
      </c>
    </row>
    <row r="9" ht="18.95" customHeight="1" spans="1:4">
      <c r="A9" s="11" t="s">
        <v>285</v>
      </c>
      <c r="B9" s="12">
        <f>B7/B6</f>
        <v>0.863904196808879</v>
      </c>
      <c r="C9" s="12">
        <f t="shared" ref="C9:D9" si="0">C7/C6</f>
        <v>0.890321160432162</v>
      </c>
      <c r="D9" s="12">
        <f t="shared" si="0"/>
        <v>0.875390226345412</v>
      </c>
    </row>
    <row r="10" ht="18.95" customHeight="1" spans="1:4">
      <c r="A10" s="8" t="s">
        <v>286</v>
      </c>
      <c r="B10" s="12">
        <f>B8/B6</f>
        <v>0.136095803191121</v>
      </c>
      <c r="C10" s="12">
        <f t="shared" ref="C10:D10" si="1">C8/C6</f>
        <v>0.109678839567838</v>
      </c>
      <c r="D10" s="12">
        <f t="shared" si="1"/>
        <v>0.124609773654588</v>
      </c>
    </row>
    <row r="11" ht="18.95" customHeight="1" spans="1:4">
      <c r="A11" s="8"/>
      <c r="B11" s="9"/>
      <c r="C11" s="9"/>
      <c r="D11" s="9"/>
    </row>
    <row r="12" ht="18.95" customHeight="1" spans="1:4">
      <c r="A12" s="11" t="s">
        <v>287</v>
      </c>
      <c r="B12" s="9"/>
      <c r="C12" s="9"/>
      <c r="D12" s="9"/>
    </row>
    <row r="13" ht="18.95" customHeight="1" spans="1:4">
      <c r="A13" s="10" t="s">
        <v>68</v>
      </c>
      <c r="B13" s="9">
        <v>5812936</v>
      </c>
      <c r="C13" s="9">
        <v>7706900</v>
      </c>
      <c r="D13" s="9">
        <v>10182820</v>
      </c>
    </row>
    <row r="14" ht="18.95" customHeight="1" spans="1:4">
      <c r="A14" s="13" t="s">
        <v>73</v>
      </c>
      <c r="B14" s="9">
        <v>425200</v>
      </c>
      <c r="C14" s="9">
        <v>409600</v>
      </c>
      <c r="D14" s="9">
        <v>424000</v>
      </c>
    </row>
    <row r="15" ht="18.95" customHeight="1" spans="1:4">
      <c r="A15" s="10" t="s">
        <v>74</v>
      </c>
      <c r="B15" s="9">
        <v>1063000</v>
      </c>
      <c r="C15" s="9">
        <v>1024000</v>
      </c>
      <c r="D15" s="9">
        <v>1060000</v>
      </c>
    </row>
    <row r="16" ht="18.95" customHeight="1" spans="1:4">
      <c r="A16" s="14" t="s">
        <v>288</v>
      </c>
      <c r="B16" s="15">
        <f>B13/B7</f>
        <v>0.796168705801399</v>
      </c>
      <c r="C16" s="15">
        <f t="shared" ref="C16:D16" si="2">C13/C7</f>
        <v>0.843159564575242</v>
      </c>
      <c r="D16" s="15">
        <f t="shared" si="2"/>
        <v>0.876702747314528</v>
      </c>
    </row>
    <row r="17" ht="18.95" customHeight="1" spans="1:4">
      <c r="A17" s="16" t="s">
        <v>289</v>
      </c>
      <c r="B17" s="15">
        <f>B14/B7</f>
        <v>0.0582375126281718</v>
      </c>
      <c r="C17" s="15">
        <f t="shared" ref="C17:D17" si="3">C14/C7</f>
        <v>0.0448115529785023</v>
      </c>
      <c r="D17" s="15">
        <f t="shared" si="3"/>
        <v>0.0365048154500777</v>
      </c>
    </row>
    <row r="18" ht="18.95" customHeight="1" spans="1:4">
      <c r="A18" s="14" t="s">
        <v>290</v>
      </c>
      <c r="B18" s="17">
        <f>B15/B7</f>
        <v>0.14559378157043</v>
      </c>
      <c r="C18" s="17">
        <f t="shared" ref="C18:D18" si="4">C15/C7</f>
        <v>0.112028882446256</v>
      </c>
      <c r="D18" s="17">
        <f t="shared" si="4"/>
        <v>0.0912620386251942</v>
      </c>
    </row>
    <row r="19" ht="18.95" customHeight="1" spans="1:4">
      <c r="A19" s="14"/>
      <c r="B19" s="18"/>
      <c r="C19" s="18"/>
      <c r="D19" s="18"/>
    </row>
    <row r="20" ht="18.95" customHeight="1" spans="1:4">
      <c r="A20" s="19" t="s">
        <v>291</v>
      </c>
      <c r="B20" s="20"/>
      <c r="C20" s="20"/>
      <c r="D20" s="21"/>
    </row>
    <row r="21" ht="18.95" customHeight="1" spans="1:4">
      <c r="A21" s="14" t="s">
        <v>288</v>
      </c>
      <c r="B21" s="22">
        <f>B16*B9</f>
        <v>0.687813486309722</v>
      </c>
      <c r="C21" s="22">
        <f t="shared" ref="C21:D21" si="5">C16*C9</f>
        <v>0.750682801962106</v>
      </c>
      <c r="D21" s="22">
        <f t="shared" si="5"/>
        <v>0.76745701640931</v>
      </c>
    </row>
    <row r="22" ht="18.95" customHeight="1" spans="1:4">
      <c r="A22" s="16" t="s">
        <v>289</v>
      </c>
      <c r="B22" s="22">
        <f>B17*B9</f>
        <v>0.0503116315711878</v>
      </c>
      <c r="C22" s="22">
        <f t="shared" ref="C22:D22" si="6">C17*C9</f>
        <v>0.0398966738485875</v>
      </c>
      <c r="D22" s="22">
        <f t="shared" si="6"/>
        <v>0.031955958659541</v>
      </c>
    </row>
    <row r="23" ht="18.95" customHeight="1" spans="1:4">
      <c r="A23" s="14" t="s">
        <v>290</v>
      </c>
      <c r="B23" s="23">
        <f>B18*B9</f>
        <v>0.125779078927969</v>
      </c>
      <c r="C23" s="23">
        <f t="shared" ref="C23:D23" si="7">C18*C9</f>
        <v>0.0997416846214686</v>
      </c>
      <c r="D23" s="23">
        <f t="shared" si="7"/>
        <v>0.0798898966488525</v>
      </c>
    </row>
  </sheetData>
  <mergeCells count="1">
    <mergeCell ref="A2:D2"/>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4"/>
  <sheetViews>
    <sheetView workbookViewId="0">
      <selection activeCell="I19" sqref="I19"/>
    </sheetView>
  </sheetViews>
  <sheetFormatPr defaultColWidth="9" defaultRowHeight="13.5" outlineLevelCol="4"/>
  <cols>
    <col min="1" max="1" width="26.5" customWidth="1"/>
    <col min="2" max="2" width="17" style="3" customWidth="1"/>
    <col min="3" max="3" width="16.75" style="3" customWidth="1"/>
    <col min="4" max="4" width="17" style="3" customWidth="1"/>
    <col min="5" max="5" width="11.125" customWidth="1"/>
  </cols>
  <sheetData>
    <row r="1" ht="20.25" spans="1:3">
      <c r="A1" s="156" t="s">
        <v>15</v>
      </c>
      <c r="B1" s="2"/>
      <c r="C1" s="2"/>
    </row>
    <row r="2" ht="25.5" spans="1:5">
      <c r="A2" s="157" t="s">
        <v>16</v>
      </c>
      <c r="B2" s="157"/>
      <c r="C2" s="157"/>
      <c r="D2" s="157"/>
      <c r="E2" s="157"/>
    </row>
    <row r="3" ht="14.25" spans="1:3">
      <c r="A3" s="158" t="s">
        <v>17</v>
      </c>
      <c r="B3" s="159"/>
      <c r="C3" s="159"/>
    </row>
    <row r="4" ht="19.5" customHeight="1" spans="1:5">
      <c r="A4" s="160" t="s">
        <v>18</v>
      </c>
      <c r="B4" s="160" t="s">
        <v>19</v>
      </c>
      <c r="C4" s="161" t="s">
        <v>20</v>
      </c>
      <c r="D4" s="161" t="s">
        <v>21</v>
      </c>
      <c r="E4" s="161" t="s">
        <v>22</v>
      </c>
    </row>
    <row r="5" ht="19.5" customHeight="1" spans="1:5">
      <c r="A5" s="162" t="s">
        <v>23</v>
      </c>
      <c r="B5" s="160"/>
      <c r="C5" s="163"/>
      <c r="D5" s="163"/>
      <c r="E5" s="164" t="s">
        <v>24</v>
      </c>
    </row>
    <row r="6" ht="19.5" customHeight="1" spans="1:5">
      <c r="A6" s="165" t="s">
        <v>25</v>
      </c>
      <c r="B6" s="166">
        <v>21</v>
      </c>
      <c r="C6" s="163">
        <v>22</v>
      </c>
      <c r="D6" s="163">
        <v>22</v>
      </c>
      <c r="E6" s="167"/>
    </row>
    <row r="7" ht="19.5" customHeight="1" spans="1:5">
      <c r="A7" s="165" t="s">
        <v>26</v>
      </c>
      <c r="B7" s="166"/>
      <c r="C7" s="163"/>
      <c r="D7" s="163"/>
      <c r="E7" s="167"/>
    </row>
    <row r="8" ht="19.5" customHeight="1" spans="1:5">
      <c r="A8" s="168" t="s">
        <v>27</v>
      </c>
      <c r="B8" s="169"/>
      <c r="C8" s="163"/>
      <c r="D8" s="163"/>
      <c r="E8" s="167"/>
    </row>
    <row r="9" ht="19.5" customHeight="1" spans="1:5">
      <c r="A9" s="162" t="s">
        <v>28</v>
      </c>
      <c r="B9" s="160"/>
      <c r="C9" s="170"/>
      <c r="D9" s="170"/>
      <c r="E9" s="167"/>
    </row>
    <row r="10" ht="19.5" customHeight="1" spans="1:5">
      <c r="A10" s="165" t="s">
        <v>25</v>
      </c>
      <c r="B10" s="166">
        <v>1063</v>
      </c>
      <c r="C10" s="170">
        <v>1024</v>
      </c>
      <c r="D10" s="170">
        <v>1060</v>
      </c>
      <c r="E10" s="167"/>
    </row>
    <row r="11" ht="19.5" customHeight="1" spans="1:5">
      <c r="A11" s="165" t="s">
        <v>26</v>
      </c>
      <c r="B11" s="166"/>
      <c r="C11" s="170"/>
      <c r="D11" s="170"/>
      <c r="E11" s="167"/>
    </row>
    <row r="12" ht="19.5" customHeight="1" spans="1:5">
      <c r="A12" s="168" t="s">
        <v>29</v>
      </c>
      <c r="B12" s="169"/>
      <c r="C12" s="170"/>
      <c r="D12" s="170"/>
      <c r="E12" s="167"/>
    </row>
    <row r="13" ht="19.5" customHeight="1" spans="1:5">
      <c r="A13" s="171" t="s">
        <v>30</v>
      </c>
      <c r="B13" s="161"/>
      <c r="C13" s="170"/>
      <c r="D13" s="170"/>
      <c r="E13" s="172"/>
    </row>
    <row r="14" ht="19.5" customHeight="1" spans="1:5">
      <c r="A14" s="173" t="s">
        <v>31</v>
      </c>
      <c r="B14" s="174"/>
      <c r="C14" s="163"/>
      <c r="D14" s="163"/>
      <c r="E14" s="175" t="s">
        <v>32</v>
      </c>
    </row>
    <row r="15" ht="19.5" customHeight="1" spans="1:5">
      <c r="A15" s="176" t="s">
        <v>33</v>
      </c>
      <c r="B15" s="177"/>
      <c r="C15" s="163"/>
      <c r="D15" s="163"/>
      <c r="E15" s="175"/>
    </row>
    <row r="16" ht="19.5" customHeight="1" spans="1:5">
      <c r="A16" s="178" t="s">
        <v>34</v>
      </c>
      <c r="B16" s="177"/>
      <c r="C16" s="163"/>
      <c r="D16" s="163"/>
      <c r="E16" s="175"/>
    </row>
    <row r="17" ht="19.5" customHeight="1" spans="1:5">
      <c r="A17" s="179" t="s">
        <v>35</v>
      </c>
      <c r="B17" s="166">
        <v>53</v>
      </c>
      <c r="C17" s="163">
        <v>59</v>
      </c>
      <c r="D17" s="163">
        <v>57</v>
      </c>
      <c r="E17" s="175"/>
    </row>
    <row r="18" ht="19.5" customHeight="1" spans="1:5">
      <c r="A18" s="179" t="s">
        <v>36</v>
      </c>
      <c r="B18" s="180"/>
      <c r="C18" s="163"/>
      <c r="D18" s="163"/>
      <c r="E18" s="175"/>
    </row>
    <row r="19" ht="19.5" customHeight="1" spans="1:5">
      <c r="A19" s="179" t="s">
        <v>37</v>
      </c>
      <c r="B19" s="180"/>
      <c r="C19" s="163"/>
      <c r="D19" s="163"/>
      <c r="E19" s="175"/>
    </row>
    <row r="20" ht="19.5" customHeight="1" spans="1:5">
      <c r="A20" s="181" t="s">
        <v>38</v>
      </c>
      <c r="B20" s="182"/>
      <c r="C20" s="163"/>
      <c r="D20" s="163"/>
      <c r="E20" s="175"/>
    </row>
    <row r="21" ht="19.5" customHeight="1" spans="1:5">
      <c r="A21" s="178" t="s">
        <v>39</v>
      </c>
      <c r="B21" s="177"/>
      <c r="C21" s="163"/>
      <c r="D21" s="163"/>
      <c r="E21" s="175"/>
    </row>
    <row r="22" ht="19.5" customHeight="1" spans="1:5">
      <c r="A22" s="178" t="s">
        <v>40</v>
      </c>
      <c r="B22" s="177">
        <v>5</v>
      </c>
      <c r="C22" s="163">
        <v>5</v>
      </c>
      <c r="D22" s="163">
        <v>5</v>
      </c>
      <c r="E22" s="175"/>
    </row>
    <row r="23" s="3" customFormat="1" ht="19.5" customHeight="1" spans="1:5">
      <c r="A23" s="177" t="s">
        <v>41</v>
      </c>
      <c r="B23" s="177">
        <v>38</v>
      </c>
      <c r="C23" s="163">
        <v>37</v>
      </c>
      <c r="D23" s="163">
        <v>37</v>
      </c>
      <c r="E23" s="175"/>
    </row>
    <row r="24" ht="19.5" customHeight="1" spans="1:5">
      <c r="A24" s="183" t="s">
        <v>42</v>
      </c>
      <c r="B24" s="163"/>
      <c r="C24" s="163"/>
      <c r="D24" s="163"/>
      <c r="E24" s="175"/>
    </row>
    <row r="25" ht="19.5" customHeight="1" spans="1:5">
      <c r="A25" s="183" t="s">
        <v>43</v>
      </c>
      <c r="B25" s="163"/>
      <c r="C25" s="163"/>
      <c r="D25" s="163"/>
      <c r="E25" s="175"/>
    </row>
    <row r="26" ht="19.5" customHeight="1" spans="1:5">
      <c r="A26" s="183" t="s">
        <v>44</v>
      </c>
      <c r="B26" s="163"/>
      <c r="C26" s="163"/>
      <c r="D26" s="163"/>
      <c r="E26" s="175"/>
    </row>
    <row r="27" ht="19.5" customHeight="1" spans="1:5">
      <c r="A27" s="183" t="s">
        <v>45</v>
      </c>
      <c r="B27" s="163"/>
      <c r="C27" s="163"/>
      <c r="D27" s="163"/>
      <c r="E27" s="175"/>
    </row>
    <row r="28" ht="19.5" customHeight="1" spans="1:5">
      <c r="A28" s="183" t="s">
        <v>46</v>
      </c>
      <c r="B28" s="163"/>
      <c r="C28" s="163"/>
      <c r="D28" s="163"/>
      <c r="E28" s="175"/>
    </row>
    <row r="29" ht="19.5" customHeight="1" spans="1:5">
      <c r="A29" s="184" t="s">
        <v>47</v>
      </c>
      <c r="B29" s="185">
        <v>27806483</v>
      </c>
      <c r="C29" s="185">
        <v>27806483</v>
      </c>
      <c r="D29" s="185">
        <v>27806483</v>
      </c>
      <c r="E29" s="183"/>
    </row>
    <row r="30" ht="19.5" customHeight="1" spans="1:5">
      <c r="A30" s="176" t="s">
        <v>48</v>
      </c>
      <c r="B30" s="177">
        <v>25196539</v>
      </c>
      <c r="C30" s="177">
        <v>25196539</v>
      </c>
      <c r="D30" s="177">
        <v>25196539</v>
      </c>
      <c r="E30" s="183"/>
    </row>
    <row r="31" ht="19.5" customHeight="1" spans="1:5">
      <c r="A31" s="176" t="s">
        <v>49</v>
      </c>
      <c r="B31" s="177">
        <v>1091651</v>
      </c>
      <c r="C31" s="177">
        <v>1091651</v>
      </c>
      <c r="D31" s="177">
        <v>1091651</v>
      </c>
      <c r="E31" s="183"/>
    </row>
    <row r="32" ht="19.5" customHeight="1" spans="1:5">
      <c r="A32" s="176" t="s">
        <v>50</v>
      </c>
      <c r="B32" s="177">
        <v>1431377</v>
      </c>
      <c r="C32" s="177">
        <v>1431377</v>
      </c>
      <c r="D32" s="177">
        <v>1431377</v>
      </c>
      <c r="E32" s="183"/>
    </row>
    <row r="33" ht="19.5" customHeight="1" spans="1:5">
      <c r="A33" s="176" t="s">
        <v>51</v>
      </c>
      <c r="B33" s="177">
        <v>86916</v>
      </c>
      <c r="C33" s="177">
        <v>86916</v>
      </c>
      <c r="D33" s="177">
        <v>86916</v>
      </c>
      <c r="E33" s="183"/>
    </row>
    <row r="34" ht="19.5" customHeight="1" spans="1:5">
      <c r="A34" s="186" t="s">
        <v>52</v>
      </c>
      <c r="B34" s="187"/>
      <c r="C34" s="163"/>
      <c r="D34" s="163"/>
      <c r="E34" s="183"/>
    </row>
  </sheetData>
  <mergeCells count="4">
    <mergeCell ref="A2:E2"/>
    <mergeCell ref="A3:C3"/>
    <mergeCell ref="E5:E13"/>
    <mergeCell ref="E14:E28"/>
  </mergeCells>
  <pageMargins left="0.826388888888889" right="0.472222222222222"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6"/>
  <sheetViews>
    <sheetView workbookViewId="0">
      <selection activeCell="L13" sqref="L13"/>
    </sheetView>
  </sheetViews>
  <sheetFormatPr defaultColWidth="9" defaultRowHeight="13.5" outlineLevelCol="3"/>
  <cols>
    <col min="1" max="1" width="25.875" customWidth="1"/>
    <col min="2" max="4" width="18.875" style="3" customWidth="1"/>
    <col min="5" max="8" width="9" customWidth="1"/>
  </cols>
  <sheetData>
    <row r="1" ht="20.25" spans="1:2">
      <c r="A1" s="1" t="s">
        <v>53</v>
      </c>
      <c r="B1" s="2"/>
    </row>
    <row r="2" ht="25.5" customHeight="1" spans="1:4">
      <c r="A2" s="4" t="s">
        <v>54</v>
      </c>
      <c r="B2" s="4"/>
      <c r="C2" s="4"/>
      <c r="D2" s="4"/>
    </row>
    <row r="3" spans="1:2">
      <c r="A3" s="5" t="s">
        <v>55</v>
      </c>
      <c r="B3" s="6"/>
    </row>
    <row r="4" ht="36" customHeight="1" spans="1:4">
      <c r="A4" s="7" t="s">
        <v>56</v>
      </c>
      <c r="B4" s="7" t="s">
        <v>57</v>
      </c>
      <c r="C4" s="7" t="s">
        <v>58</v>
      </c>
      <c r="D4" s="7" t="s">
        <v>59</v>
      </c>
    </row>
    <row r="5" ht="22.5" customHeight="1" spans="1:4">
      <c r="A5" s="8" t="s">
        <v>60</v>
      </c>
      <c r="B5" s="9">
        <f>B6</f>
        <v>218700</v>
      </c>
      <c r="C5" s="9">
        <f>C6</f>
        <v>1006900</v>
      </c>
      <c r="D5" s="9">
        <f>D6</f>
        <v>690400</v>
      </c>
    </row>
    <row r="6" ht="22.5" customHeight="1" spans="1:4">
      <c r="A6" s="10" t="s">
        <v>61</v>
      </c>
      <c r="B6" s="9">
        <v>218700</v>
      </c>
      <c r="C6" s="9">
        <v>1006900</v>
      </c>
      <c r="D6" s="9">
        <v>690400</v>
      </c>
    </row>
    <row r="7" ht="22.5" customHeight="1" spans="1:4">
      <c r="A7" s="10" t="s">
        <v>62</v>
      </c>
      <c r="B7" s="9"/>
      <c r="C7" s="9"/>
      <c r="D7" s="9"/>
    </row>
    <row r="8" ht="22.5" customHeight="1" spans="1:4">
      <c r="A8" s="10" t="s">
        <v>63</v>
      </c>
      <c r="B8" s="9"/>
      <c r="C8" s="9"/>
      <c r="D8" s="9"/>
    </row>
    <row r="9" ht="22.5" customHeight="1" spans="1:4">
      <c r="A9" s="10" t="s">
        <v>64</v>
      </c>
      <c r="B9" s="9"/>
      <c r="C9" s="9"/>
      <c r="D9" s="9"/>
    </row>
    <row r="10" ht="22.5" customHeight="1" spans="1:4">
      <c r="A10" s="8" t="s">
        <v>65</v>
      </c>
      <c r="B10" s="9"/>
      <c r="C10" s="9"/>
      <c r="D10" s="9"/>
    </row>
    <row r="11" ht="22.5" customHeight="1" spans="1:4">
      <c r="A11" s="8" t="s">
        <v>66</v>
      </c>
      <c r="B11" s="9">
        <f>B12</f>
        <v>7488003</v>
      </c>
      <c r="C11" s="9">
        <f>C12</f>
        <v>9300169</v>
      </c>
      <c r="D11" s="9">
        <f>D12</f>
        <v>11764818</v>
      </c>
    </row>
    <row r="12" ht="22.5" customHeight="1" spans="1:4">
      <c r="A12" s="10" t="s">
        <v>67</v>
      </c>
      <c r="B12" s="9">
        <f>B13+B18+B19+B20</f>
        <v>7488003</v>
      </c>
      <c r="C12" s="9">
        <f>C13+C18+C19+C20</f>
        <v>9300169</v>
      </c>
      <c r="D12" s="9">
        <v>11764818</v>
      </c>
    </row>
    <row r="13" ht="22.5" customHeight="1" spans="1:4">
      <c r="A13" s="10" t="s">
        <v>68</v>
      </c>
      <c r="B13" s="9">
        <v>5812936</v>
      </c>
      <c r="C13" s="9">
        <v>7706900</v>
      </c>
      <c r="D13" s="9">
        <v>10182820</v>
      </c>
    </row>
    <row r="14" ht="22.5" customHeight="1" spans="1:4">
      <c r="A14" s="10" t="s">
        <v>69</v>
      </c>
      <c r="B14" s="9">
        <v>5812936</v>
      </c>
      <c r="C14" s="9">
        <v>7706900</v>
      </c>
      <c r="D14" s="9">
        <v>10182820</v>
      </c>
    </row>
    <row r="15" ht="22.5" customHeight="1" spans="1:4">
      <c r="A15" s="10" t="s">
        <v>70</v>
      </c>
      <c r="B15" s="9"/>
      <c r="C15" s="9"/>
      <c r="D15" s="9"/>
    </row>
    <row r="16" ht="22.5" customHeight="1" spans="1:4">
      <c r="A16" s="10" t="s">
        <v>71</v>
      </c>
      <c r="B16" s="9"/>
      <c r="C16" s="9"/>
      <c r="D16" s="9"/>
    </row>
    <row r="17" ht="22.5" customHeight="1" spans="1:4">
      <c r="A17" s="10" t="s">
        <v>72</v>
      </c>
      <c r="B17" s="9"/>
      <c r="C17" s="9"/>
      <c r="D17" s="9"/>
    </row>
    <row r="18" ht="22.5" customHeight="1" spans="1:4">
      <c r="A18" s="13" t="s">
        <v>73</v>
      </c>
      <c r="B18" s="9">
        <v>425200</v>
      </c>
      <c r="C18" s="9">
        <v>409600</v>
      </c>
      <c r="D18" s="9">
        <v>424000</v>
      </c>
    </row>
    <row r="19" ht="22.5" customHeight="1" spans="1:4">
      <c r="A19" s="10" t="s">
        <v>74</v>
      </c>
      <c r="B19" s="9">
        <v>1063000</v>
      </c>
      <c r="C19" s="9">
        <v>1024000</v>
      </c>
      <c r="D19" s="9">
        <v>1060000</v>
      </c>
    </row>
    <row r="20" ht="22.5" customHeight="1" spans="1:4">
      <c r="A20" s="152" t="s">
        <v>75</v>
      </c>
      <c r="B20" s="15">
        <v>186867</v>
      </c>
      <c r="C20" s="15">
        <v>159669</v>
      </c>
      <c r="D20" s="15">
        <v>97998</v>
      </c>
    </row>
    <row r="21" ht="22.5" customHeight="1" spans="1:4">
      <c r="A21" s="153" t="s">
        <v>76</v>
      </c>
      <c r="B21" s="15"/>
      <c r="C21" s="15"/>
      <c r="D21" s="15"/>
    </row>
    <row r="22" ht="22.5" customHeight="1" spans="1:4">
      <c r="A22" s="14" t="s">
        <v>77</v>
      </c>
      <c r="B22" s="154"/>
      <c r="C22" s="154"/>
      <c r="D22" s="154"/>
    </row>
    <row r="23" ht="22.5" customHeight="1" spans="1:4">
      <c r="A23" s="14" t="s">
        <v>78</v>
      </c>
      <c r="B23" s="18"/>
      <c r="C23" s="18"/>
      <c r="D23" s="18"/>
    </row>
    <row r="24" ht="22.5" customHeight="1" spans="1:4">
      <c r="A24" s="14" t="s">
        <v>79</v>
      </c>
      <c r="B24" s="18"/>
      <c r="C24" s="18"/>
      <c r="D24" s="18"/>
    </row>
    <row r="25" ht="22.5" customHeight="1" spans="1:4">
      <c r="A25" s="155" t="s">
        <v>80</v>
      </c>
      <c r="B25" s="18"/>
      <c r="C25" s="18"/>
      <c r="D25" s="18"/>
    </row>
    <row r="26" ht="22.5" customHeight="1" spans="1:4">
      <c r="A26" s="155" t="s">
        <v>81</v>
      </c>
      <c r="B26" s="18"/>
      <c r="C26" s="18"/>
      <c r="D26" s="18"/>
    </row>
  </sheetData>
  <mergeCells count="1">
    <mergeCell ref="A2:D2"/>
  </mergeCells>
  <pageMargins left="1.02361111111111"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5"/>
  <sheetViews>
    <sheetView topLeftCell="A34" workbookViewId="0">
      <selection activeCell="M54" sqref="M54"/>
    </sheetView>
  </sheetViews>
  <sheetFormatPr defaultColWidth="9" defaultRowHeight="13.5"/>
  <cols>
    <col min="1" max="1" width="24.125" style="76" customWidth="1"/>
    <col min="2" max="2" width="13.5" style="136" customWidth="1"/>
    <col min="3" max="3" width="8.75" style="136" customWidth="1"/>
    <col min="4" max="5" width="13.5" style="136" customWidth="1"/>
    <col min="6" max="6" width="10.5" style="136" customWidth="1"/>
    <col min="7" max="8" width="13.5" style="136" customWidth="1"/>
    <col min="9" max="9" width="10.5" style="136" customWidth="1"/>
    <col min="10" max="10" width="13.5" style="136" customWidth="1"/>
    <col min="11" max="16384" width="9" style="76"/>
  </cols>
  <sheetData>
    <row r="1" ht="20.25" spans="1:4">
      <c r="A1" s="137" t="s">
        <v>82</v>
      </c>
      <c r="B1" s="138"/>
      <c r="C1" s="138"/>
      <c r="D1" s="138"/>
    </row>
    <row r="2" ht="25.5" spans="1:10">
      <c r="A2" s="77" t="s">
        <v>83</v>
      </c>
      <c r="B2" s="77"/>
      <c r="C2" s="77"/>
      <c r="D2" s="77"/>
      <c r="E2" s="77"/>
      <c r="F2" s="77"/>
      <c r="G2" s="77"/>
      <c r="H2" s="77"/>
      <c r="I2" s="77"/>
      <c r="J2" s="77"/>
    </row>
    <row r="3" ht="15.75" spans="1:10">
      <c r="A3" s="139"/>
      <c r="B3" s="139"/>
      <c r="C3" s="139"/>
      <c r="D3" s="139"/>
      <c r="J3" s="136" t="s">
        <v>84</v>
      </c>
    </row>
    <row r="4" ht="15.6" customHeight="1" spans="1:10">
      <c r="A4" s="140" t="s">
        <v>85</v>
      </c>
      <c r="B4" s="140" t="s">
        <v>86</v>
      </c>
      <c r="C4" s="141" t="s">
        <v>87</v>
      </c>
      <c r="D4" s="140" t="s">
        <v>88</v>
      </c>
      <c r="E4" s="140" t="s">
        <v>89</v>
      </c>
      <c r="F4" s="140" t="s">
        <v>87</v>
      </c>
      <c r="G4" s="140" t="s">
        <v>90</v>
      </c>
      <c r="H4" s="140" t="s">
        <v>91</v>
      </c>
      <c r="I4" s="140" t="s">
        <v>87</v>
      </c>
      <c r="J4" s="140" t="s">
        <v>92</v>
      </c>
    </row>
    <row r="5" s="135" customFormat="1" ht="15.75" spans="1:10">
      <c r="A5" s="142" t="s">
        <v>93</v>
      </c>
      <c r="B5" s="143">
        <f>SUM(B6:B11)</f>
        <v>4705614</v>
      </c>
      <c r="C5" s="143">
        <f>D5-B5</f>
        <v>0</v>
      </c>
      <c r="D5" s="143">
        <f t="shared" ref="D5:J5" si="0">D6+D7+D8+D9+D10+D11</f>
        <v>4705614</v>
      </c>
      <c r="E5" s="143">
        <f>SUM(E6:E11)</f>
        <v>5573285</v>
      </c>
      <c r="F5" s="143">
        <f>G5-E5</f>
        <v>140597.9</v>
      </c>
      <c r="G5" s="143">
        <f>G6+G7+G8+G9+G10+G11</f>
        <v>5713882.9</v>
      </c>
      <c r="H5" s="143">
        <f>SUM(H6:H11)</f>
        <v>8365643</v>
      </c>
      <c r="I5" s="143">
        <f>J5-H5</f>
        <v>-1634243</v>
      </c>
      <c r="J5" s="143">
        <f t="shared" si="0"/>
        <v>6731400</v>
      </c>
    </row>
    <row r="6" ht="15.75" spans="1:10">
      <c r="A6" s="144" t="s">
        <v>94</v>
      </c>
      <c r="B6" s="85">
        <v>3699068</v>
      </c>
      <c r="C6" s="143">
        <f t="shared" ref="C6:C55" si="1">D6-B6</f>
        <v>366498</v>
      </c>
      <c r="D6" s="85">
        <v>4065566</v>
      </c>
      <c r="E6" s="85">
        <v>4395734</v>
      </c>
      <c r="F6" s="143">
        <f t="shared" ref="F6:F10" si="2">G6-E6</f>
        <v>679424</v>
      </c>
      <c r="G6" s="85">
        <v>5075158</v>
      </c>
      <c r="H6" s="85">
        <v>5326669</v>
      </c>
      <c r="I6" s="143">
        <f t="shared" ref="I6:I55" si="3">J6-H6</f>
        <v>1404731</v>
      </c>
      <c r="J6" s="85">
        <v>6731400</v>
      </c>
    </row>
    <row r="7" ht="15.75" spans="1:10">
      <c r="A7" s="144" t="s">
        <v>95</v>
      </c>
      <c r="B7" s="85">
        <v>190200</v>
      </c>
      <c r="C7" s="143">
        <f t="shared" si="1"/>
        <v>-190200</v>
      </c>
      <c r="D7" s="85"/>
      <c r="E7" s="85">
        <v>343683</v>
      </c>
      <c r="F7" s="143">
        <f t="shared" si="2"/>
        <v>-343683</v>
      </c>
      <c r="G7" s="85"/>
      <c r="H7" s="85">
        <v>986446</v>
      </c>
      <c r="I7" s="143">
        <f t="shared" si="3"/>
        <v>-986446</v>
      </c>
      <c r="J7" s="85"/>
    </row>
    <row r="8" ht="15.75" spans="1:10">
      <c r="A8" s="144" t="s">
        <v>96</v>
      </c>
      <c r="B8" s="85">
        <v>176298</v>
      </c>
      <c r="C8" s="143">
        <f t="shared" si="1"/>
        <v>-176298</v>
      </c>
      <c r="D8" s="85"/>
      <c r="E8" s="85">
        <v>335741</v>
      </c>
      <c r="F8" s="143">
        <f t="shared" si="2"/>
        <v>-335741</v>
      </c>
      <c r="G8" s="85"/>
      <c r="H8" s="85">
        <v>1152993</v>
      </c>
      <c r="I8" s="143">
        <f t="shared" si="3"/>
        <v>-1152993</v>
      </c>
      <c r="J8" s="85"/>
    </row>
    <row r="9" ht="15.75" spans="1:10">
      <c r="A9" s="144" t="s">
        <v>97</v>
      </c>
      <c r="B9" s="85">
        <v>334252</v>
      </c>
      <c r="C9" s="143">
        <f t="shared" si="1"/>
        <v>0</v>
      </c>
      <c r="D9" s="85">
        <v>334252</v>
      </c>
      <c r="E9" s="85">
        <v>384967</v>
      </c>
      <c r="F9" s="143">
        <f t="shared" si="2"/>
        <v>0</v>
      </c>
      <c r="G9" s="85">
        <v>384967</v>
      </c>
      <c r="H9" s="85">
        <v>691567</v>
      </c>
      <c r="I9" s="143">
        <f t="shared" si="3"/>
        <v>-691567</v>
      </c>
      <c r="J9" s="85"/>
    </row>
    <row r="10" ht="15.75" spans="1:10">
      <c r="A10" s="144" t="s">
        <v>98</v>
      </c>
      <c r="B10" s="85">
        <v>305796</v>
      </c>
      <c r="C10" s="143">
        <f t="shared" si="1"/>
        <v>0</v>
      </c>
      <c r="D10" s="85">
        <v>305796</v>
      </c>
      <c r="E10" s="85">
        <v>113160</v>
      </c>
      <c r="F10" s="143">
        <f t="shared" si="2"/>
        <v>140597.9</v>
      </c>
      <c r="G10" s="85">
        <v>253757.9</v>
      </c>
      <c r="H10" s="85">
        <v>207968</v>
      </c>
      <c r="I10" s="143">
        <f t="shared" si="3"/>
        <v>-207968</v>
      </c>
      <c r="J10" s="85"/>
    </row>
    <row r="11" ht="15.75" spans="1:10">
      <c r="A11" s="144" t="s">
        <v>99</v>
      </c>
      <c r="B11" s="85"/>
      <c r="C11" s="143">
        <f t="shared" si="1"/>
        <v>0</v>
      </c>
      <c r="D11" s="85"/>
      <c r="E11" s="85"/>
      <c r="F11" s="85"/>
      <c r="G11" s="85"/>
      <c r="H11" s="85"/>
      <c r="I11" s="143">
        <f t="shared" si="3"/>
        <v>0</v>
      </c>
      <c r="J11" s="85"/>
    </row>
    <row r="12" s="135" customFormat="1" ht="15.75" spans="1:10">
      <c r="A12" s="142" t="s">
        <v>100</v>
      </c>
      <c r="B12" s="143">
        <f>SUM(B13:B36)</f>
        <v>1813379</v>
      </c>
      <c r="C12" s="143">
        <f t="shared" si="1"/>
        <v>-79763.0880000002</v>
      </c>
      <c r="D12" s="143">
        <f t="shared" ref="D12:J12" si="4">SUM(D13:D36)</f>
        <v>1733615.912</v>
      </c>
      <c r="E12" s="143">
        <f t="shared" si="4"/>
        <v>2361518</v>
      </c>
      <c r="F12" s="143">
        <f t="shared" ref="F12:F55" si="5">G12-E12</f>
        <v>-484514.07</v>
      </c>
      <c r="G12" s="143">
        <f t="shared" si="4"/>
        <v>1877003.93</v>
      </c>
      <c r="H12" s="143">
        <f t="shared" si="4"/>
        <v>2094092</v>
      </c>
      <c r="I12" s="143">
        <f t="shared" si="3"/>
        <v>-473365.48</v>
      </c>
      <c r="J12" s="143">
        <f t="shared" si="4"/>
        <v>1620726.52</v>
      </c>
    </row>
    <row r="13" ht="15.75" spans="1:10">
      <c r="A13" s="145" t="s">
        <v>101</v>
      </c>
      <c r="B13" s="85">
        <v>211979</v>
      </c>
      <c r="C13" s="143">
        <f t="shared" si="1"/>
        <v>-0.309999999997672</v>
      </c>
      <c r="D13" s="85">
        <f>199586.69+12392</f>
        <v>211978.69</v>
      </c>
      <c r="E13" s="85">
        <v>138444</v>
      </c>
      <c r="F13" s="143">
        <f t="shared" si="5"/>
        <v>0.440000000002328</v>
      </c>
      <c r="G13" s="85">
        <f>117920.44+20524</f>
        <v>138444.44</v>
      </c>
      <c r="H13" s="85">
        <v>136825</v>
      </c>
      <c r="I13" s="143">
        <f t="shared" si="3"/>
        <v>0.0700000000069849</v>
      </c>
      <c r="J13" s="85">
        <f>118025.07+18800</f>
        <v>136825.07</v>
      </c>
    </row>
    <row r="14" ht="15.75" spans="1:10">
      <c r="A14" s="145" t="s">
        <v>102</v>
      </c>
      <c r="B14" s="85">
        <v>189473</v>
      </c>
      <c r="C14" s="143">
        <f t="shared" si="1"/>
        <v>-177613</v>
      </c>
      <c r="D14" s="85">
        <v>11860</v>
      </c>
      <c r="E14" s="85">
        <v>191731</v>
      </c>
      <c r="F14" s="143">
        <f t="shared" si="5"/>
        <v>-191731</v>
      </c>
      <c r="G14" s="85"/>
      <c r="H14" s="85">
        <v>214212</v>
      </c>
      <c r="I14" s="143">
        <f t="shared" si="3"/>
        <v>-213755</v>
      </c>
      <c r="J14" s="85">
        <v>457</v>
      </c>
    </row>
    <row r="15" ht="15.75" spans="1:10">
      <c r="A15" s="145" t="s">
        <v>103</v>
      </c>
      <c r="B15" s="85"/>
      <c r="C15" s="143">
        <f t="shared" si="1"/>
        <v>0</v>
      </c>
      <c r="D15" s="85"/>
      <c r="E15" s="85"/>
      <c r="F15" s="143">
        <f t="shared" si="5"/>
        <v>0</v>
      </c>
      <c r="G15" s="85"/>
      <c r="H15" s="85"/>
      <c r="I15" s="143">
        <f t="shared" si="3"/>
        <v>0</v>
      </c>
      <c r="J15" s="85"/>
    </row>
    <row r="16" ht="15.75" spans="1:10">
      <c r="A16" s="145" t="s">
        <v>104</v>
      </c>
      <c r="B16" s="85"/>
      <c r="C16" s="143">
        <f t="shared" si="1"/>
        <v>0</v>
      </c>
      <c r="D16" s="85"/>
      <c r="E16" s="85"/>
      <c r="F16" s="143">
        <f t="shared" si="5"/>
        <v>0</v>
      </c>
      <c r="G16" s="85"/>
      <c r="H16" s="85"/>
      <c r="I16" s="143">
        <f t="shared" si="3"/>
        <v>0</v>
      </c>
      <c r="J16" s="85"/>
    </row>
    <row r="17" ht="15.75" spans="1:10">
      <c r="A17" s="145" t="s">
        <v>105</v>
      </c>
      <c r="B17" s="85">
        <v>110600</v>
      </c>
      <c r="C17" s="143">
        <f t="shared" si="1"/>
        <v>-34507.2</v>
      </c>
      <c r="D17" s="85">
        <f>B17*0.688</f>
        <v>76092.8</v>
      </c>
      <c r="E17" s="85">
        <v>134350</v>
      </c>
      <c r="F17" s="143">
        <f t="shared" si="5"/>
        <v>100754.69</v>
      </c>
      <c r="G17" s="85">
        <v>235104.69</v>
      </c>
      <c r="H17" s="85">
        <v>113339</v>
      </c>
      <c r="I17" s="143">
        <f t="shared" si="3"/>
        <v>249252.78</v>
      </c>
      <c r="J17" s="85">
        <v>362591.78</v>
      </c>
    </row>
    <row r="18" ht="15.75" spans="1:10">
      <c r="A18" s="145" t="s">
        <v>106</v>
      </c>
      <c r="B18" s="85">
        <v>283749</v>
      </c>
      <c r="C18" s="143">
        <f t="shared" si="1"/>
        <v>-88529.688</v>
      </c>
      <c r="D18" s="85">
        <f>B18*0.688</f>
        <v>195219.312</v>
      </c>
      <c r="E18" s="85">
        <v>328705</v>
      </c>
      <c r="F18" s="143">
        <f t="shared" si="5"/>
        <v>-328705</v>
      </c>
      <c r="G18" s="85"/>
      <c r="H18" s="85">
        <v>298697</v>
      </c>
      <c r="I18" s="143">
        <f t="shared" si="3"/>
        <v>-298697</v>
      </c>
      <c r="J18" s="85"/>
    </row>
    <row r="19" ht="15.75" spans="1:10">
      <c r="A19" s="145" t="s">
        <v>107</v>
      </c>
      <c r="B19" s="85"/>
      <c r="C19" s="143">
        <f t="shared" si="1"/>
        <v>0</v>
      </c>
      <c r="D19" s="85"/>
      <c r="E19" s="85"/>
      <c r="F19" s="143">
        <f t="shared" si="5"/>
        <v>0</v>
      </c>
      <c r="G19" s="85"/>
      <c r="H19" s="85"/>
      <c r="I19" s="143">
        <f t="shared" si="3"/>
        <v>0</v>
      </c>
      <c r="J19" s="85"/>
    </row>
    <row r="20" ht="15.75" spans="1:10">
      <c r="A20" s="146" t="s">
        <v>108</v>
      </c>
      <c r="B20" s="85">
        <v>127900</v>
      </c>
      <c r="C20" s="143">
        <f t="shared" si="1"/>
        <v>0</v>
      </c>
      <c r="D20" s="85">
        <v>127900</v>
      </c>
      <c r="E20" s="85">
        <v>83115</v>
      </c>
      <c r="F20" s="143">
        <f t="shared" si="5"/>
        <v>0</v>
      </c>
      <c r="G20" s="85">
        <f>83115</f>
        <v>83115</v>
      </c>
      <c r="H20" s="85">
        <v>57950</v>
      </c>
      <c r="I20" s="143">
        <f t="shared" si="3"/>
        <v>0</v>
      </c>
      <c r="J20" s="85">
        <v>57950</v>
      </c>
    </row>
    <row r="21" ht="15.75" spans="1:10">
      <c r="A21" s="145" t="s">
        <v>109</v>
      </c>
      <c r="B21" s="85">
        <v>7874</v>
      </c>
      <c r="C21" s="143">
        <f t="shared" si="1"/>
        <v>-7505</v>
      </c>
      <c r="D21" s="85">
        <v>369</v>
      </c>
      <c r="E21" s="85">
        <v>2036</v>
      </c>
      <c r="F21" s="143">
        <f t="shared" si="5"/>
        <v>0</v>
      </c>
      <c r="G21" s="85">
        <v>2036</v>
      </c>
      <c r="H21" s="85">
        <v>5024</v>
      </c>
      <c r="I21" s="143">
        <f t="shared" si="3"/>
        <v>-0.199999999999818</v>
      </c>
      <c r="J21" s="85">
        <f>1802+3221.8</f>
        <v>5023.8</v>
      </c>
    </row>
    <row r="22" ht="15.75" spans="1:10">
      <c r="A22" s="147" t="s">
        <v>110</v>
      </c>
      <c r="B22" s="85">
        <v>106754</v>
      </c>
      <c r="C22" s="143">
        <f t="shared" si="1"/>
        <v>0</v>
      </c>
      <c r="D22" s="85">
        <v>106754</v>
      </c>
      <c r="E22" s="85">
        <v>111367</v>
      </c>
      <c r="F22" s="143">
        <f t="shared" si="5"/>
        <v>0</v>
      </c>
      <c r="G22" s="85">
        <f>111367</f>
        <v>111367</v>
      </c>
      <c r="H22" s="85">
        <v>28942</v>
      </c>
      <c r="I22" s="143">
        <f t="shared" si="3"/>
        <v>0</v>
      </c>
      <c r="J22" s="85">
        <v>28942</v>
      </c>
    </row>
    <row r="23" ht="15.75" spans="1:10">
      <c r="A23" s="145" t="s">
        <v>111</v>
      </c>
      <c r="B23" s="85">
        <v>242072</v>
      </c>
      <c r="C23" s="143">
        <f t="shared" si="1"/>
        <v>0</v>
      </c>
      <c r="D23" s="85">
        <v>242072</v>
      </c>
      <c r="E23" s="85">
        <v>371822</v>
      </c>
      <c r="F23" s="143">
        <f t="shared" si="5"/>
        <v>0.5</v>
      </c>
      <c r="G23" s="85">
        <f>134749.5+237073</f>
        <v>371822.5</v>
      </c>
      <c r="H23" s="85">
        <v>91127</v>
      </c>
      <c r="I23" s="143">
        <f t="shared" si="3"/>
        <v>-0.30000000000291</v>
      </c>
      <c r="J23" s="85">
        <v>91126.7</v>
      </c>
    </row>
    <row r="24" ht="15.75" spans="1:10">
      <c r="A24" s="146" t="s">
        <v>112</v>
      </c>
      <c r="B24" s="85">
        <v>165296</v>
      </c>
      <c r="C24" s="143">
        <f t="shared" si="1"/>
        <v>0</v>
      </c>
      <c r="D24" s="85">
        <v>165296</v>
      </c>
      <c r="E24" s="85">
        <v>273699</v>
      </c>
      <c r="F24" s="143">
        <f t="shared" si="5"/>
        <v>-0.0200000000186265</v>
      </c>
      <c r="G24" s="85">
        <v>273698.98</v>
      </c>
      <c r="H24" s="85">
        <v>338895</v>
      </c>
      <c r="I24" s="143">
        <f t="shared" si="3"/>
        <v>0</v>
      </c>
      <c r="J24" s="85">
        <v>338895</v>
      </c>
    </row>
    <row r="25" ht="15.75" spans="1:10">
      <c r="A25" s="145" t="s">
        <v>113</v>
      </c>
      <c r="B25" s="85"/>
      <c r="C25" s="143">
        <f t="shared" si="1"/>
        <v>0</v>
      </c>
      <c r="D25" s="85"/>
      <c r="E25" s="85"/>
      <c r="F25" s="143">
        <f t="shared" si="5"/>
        <v>0</v>
      </c>
      <c r="G25" s="85"/>
      <c r="H25" s="85"/>
      <c r="I25" s="143">
        <f t="shared" si="3"/>
        <v>0</v>
      </c>
      <c r="J25" s="85"/>
    </row>
    <row r="26" ht="15.75" spans="1:10">
      <c r="A26" s="145" t="s">
        <v>114</v>
      </c>
      <c r="B26" s="85">
        <v>41979</v>
      </c>
      <c r="C26" s="143">
        <f t="shared" si="1"/>
        <v>59660.15</v>
      </c>
      <c r="D26" s="85">
        <v>101639.15</v>
      </c>
      <c r="E26" s="85">
        <v>60000</v>
      </c>
      <c r="F26" s="143">
        <f t="shared" si="5"/>
        <v>66878.95</v>
      </c>
      <c r="G26" s="85">
        <v>126878.95</v>
      </c>
      <c r="H26" s="85">
        <v>13872</v>
      </c>
      <c r="I26" s="143">
        <f t="shared" si="3"/>
        <v>154413</v>
      </c>
      <c r="J26" s="85">
        <v>168285</v>
      </c>
    </row>
    <row r="27" ht="15.75" spans="1:10">
      <c r="A27" s="145" t="s">
        <v>115</v>
      </c>
      <c r="B27" s="85">
        <v>60733</v>
      </c>
      <c r="C27" s="143">
        <f t="shared" si="1"/>
        <v>-18476.37</v>
      </c>
      <c r="D27" s="85">
        <v>42256.63</v>
      </c>
      <c r="E27" s="85">
        <v>75127</v>
      </c>
      <c r="F27" s="143">
        <f t="shared" si="5"/>
        <v>-23794.4</v>
      </c>
      <c r="G27" s="85">
        <v>51332.6</v>
      </c>
      <c r="H27" s="85">
        <v>92591</v>
      </c>
      <c r="I27" s="143">
        <f t="shared" si="3"/>
        <v>-26249.69</v>
      </c>
      <c r="J27" s="85">
        <v>66341.31</v>
      </c>
    </row>
    <row r="28" ht="15.75" spans="1:10">
      <c r="A28" s="145" t="s">
        <v>116</v>
      </c>
      <c r="B28" s="85"/>
      <c r="C28" s="143">
        <f t="shared" si="1"/>
        <v>0</v>
      </c>
      <c r="D28" s="85"/>
      <c r="E28" s="85"/>
      <c r="F28" s="143">
        <f t="shared" si="5"/>
        <v>0</v>
      </c>
      <c r="G28" s="85"/>
      <c r="H28" s="85"/>
      <c r="I28" s="143">
        <f t="shared" si="3"/>
        <v>0</v>
      </c>
      <c r="J28" s="85"/>
    </row>
    <row r="29" ht="15.75" spans="1:10">
      <c r="A29" s="145" t="s">
        <v>117</v>
      </c>
      <c r="B29" s="85">
        <v>13780</v>
      </c>
      <c r="C29" s="143">
        <f t="shared" si="1"/>
        <v>0</v>
      </c>
      <c r="D29" s="85">
        <v>13780</v>
      </c>
      <c r="E29" s="85">
        <v>17080</v>
      </c>
      <c r="F29" s="143">
        <f t="shared" si="5"/>
        <v>0</v>
      </c>
      <c r="G29" s="85">
        <v>17080</v>
      </c>
      <c r="H29" s="85">
        <v>7560</v>
      </c>
      <c r="I29" s="143">
        <f t="shared" si="3"/>
        <v>0</v>
      </c>
      <c r="J29" s="85">
        <v>7560</v>
      </c>
    </row>
    <row r="30" ht="15.75" spans="1:10">
      <c r="A30" s="145" t="s">
        <v>118</v>
      </c>
      <c r="B30" s="85"/>
      <c r="C30" s="143">
        <f t="shared" si="1"/>
        <v>0</v>
      </c>
      <c r="D30" s="85"/>
      <c r="E30" s="85"/>
      <c r="F30" s="143">
        <f t="shared" si="5"/>
        <v>0</v>
      </c>
      <c r="G30" s="85"/>
      <c r="H30" s="85"/>
      <c r="I30" s="143">
        <f t="shared" si="3"/>
        <v>0</v>
      </c>
      <c r="J30" s="85"/>
    </row>
    <row r="31" ht="15.75" spans="1:10">
      <c r="A31" s="145" t="s">
        <v>119</v>
      </c>
      <c r="B31" s="85">
        <v>90058</v>
      </c>
      <c r="C31" s="143">
        <f t="shared" si="1"/>
        <v>-8746.67999999999</v>
      </c>
      <c r="D31" s="85">
        <v>81311.32</v>
      </c>
      <c r="E31" s="85">
        <v>103320</v>
      </c>
      <c r="F31" s="143">
        <f t="shared" si="5"/>
        <v>-1816.84</v>
      </c>
      <c r="G31" s="85">
        <v>101503.16</v>
      </c>
      <c r="H31" s="85">
        <v>149293</v>
      </c>
      <c r="I31" s="143">
        <f t="shared" si="3"/>
        <v>-14665</v>
      </c>
      <c r="J31" s="85">
        <v>134628</v>
      </c>
    </row>
    <row r="32" ht="15.75" spans="1:10">
      <c r="A32" s="145" t="s">
        <v>120</v>
      </c>
      <c r="B32" s="85">
        <v>151767</v>
      </c>
      <c r="C32" s="143">
        <f t="shared" si="1"/>
        <v>-142073.7</v>
      </c>
      <c r="D32" s="85">
        <f>463.3+9230</f>
        <v>9693.3</v>
      </c>
      <c r="E32" s="85">
        <v>170122</v>
      </c>
      <c r="F32" s="143">
        <f t="shared" si="5"/>
        <v>0</v>
      </c>
      <c r="G32" s="85">
        <v>170122</v>
      </c>
      <c r="H32" s="85">
        <v>119930</v>
      </c>
      <c r="I32" s="143">
        <f t="shared" si="3"/>
        <v>-119930</v>
      </c>
      <c r="J32" s="85"/>
    </row>
    <row r="33" ht="15.75" spans="1:10">
      <c r="A33" s="146" t="s">
        <v>121</v>
      </c>
      <c r="B33" s="85"/>
      <c r="C33" s="143">
        <f t="shared" si="1"/>
        <v>0</v>
      </c>
      <c r="D33" s="85"/>
      <c r="E33" s="85">
        <v>50600</v>
      </c>
      <c r="F33" s="143">
        <f t="shared" si="5"/>
        <v>-50600</v>
      </c>
      <c r="G33" s="85">
        <v>0</v>
      </c>
      <c r="H33" s="85"/>
      <c r="I33" s="143">
        <f t="shared" si="3"/>
        <v>0</v>
      </c>
      <c r="J33" s="85"/>
    </row>
    <row r="34" ht="15.75" spans="1:10">
      <c r="A34" s="145" t="s">
        <v>122</v>
      </c>
      <c r="B34" s="85">
        <v>9365</v>
      </c>
      <c r="C34" s="143">
        <f t="shared" si="1"/>
        <v>8055</v>
      </c>
      <c r="D34" s="85">
        <f>16870+550</f>
        <v>17420</v>
      </c>
      <c r="E34" s="85"/>
      <c r="F34" s="143">
        <f t="shared" si="5"/>
        <v>100</v>
      </c>
      <c r="G34" s="85">
        <v>100</v>
      </c>
      <c r="H34" s="85">
        <v>1835</v>
      </c>
      <c r="I34" s="143">
        <f t="shared" si="3"/>
        <v>0</v>
      </c>
      <c r="J34" s="85">
        <v>1835</v>
      </c>
    </row>
    <row r="35" ht="15.75" spans="1:10">
      <c r="A35" s="145" t="s">
        <v>123</v>
      </c>
      <c r="B35" s="85"/>
      <c r="C35" s="143">
        <f t="shared" si="1"/>
        <v>0</v>
      </c>
      <c r="D35" s="85"/>
      <c r="E35" s="85"/>
      <c r="F35" s="143">
        <f t="shared" si="5"/>
        <v>0</v>
      </c>
      <c r="G35" s="85"/>
      <c r="H35" s="85"/>
      <c r="I35" s="143">
        <f t="shared" si="3"/>
        <v>0</v>
      </c>
      <c r="J35" s="85"/>
    </row>
    <row r="36" ht="15.75" spans="1:10">
      <c r="A36" s="145" t="s">
        <v>124</v>
      </c>
      <c r="B36" s="85"/>
      <c r="C36" s="143">
        <f t="shared" si="1"/>
        <v>329973.71</v>
      </c>
      <c r="D36" s="85">
        <f>164677.71+165296</f>
        <v>329973.71</v>
      </c>
      <c r="E36" s="85">
        <v>250000</v>
      </c>
      <c r="F36" s="143">
        <f t="shared" si="5"/>
        <v>-55601.39</v>
      </c>
      <c r="G36" s="85">
        <v>194398.61</v>
      </c>
      <c r="H36" s="85">
        <v>424000</v>
      </c>
      <c r="I36" s="143">
        <f t="shared" si="3"/>
        <v>-203734.14</v>
      </c>
      <c r="J36" s="85">
        <v>220265.86</v>
      </c>
    </row>
    <row r="37" s="135" customFormat="1" ht="15.75" spans="1:10">
      <c r="A37" s="148" t="s">
        <v>125</v>
      </c>
      <c r="B37" s="143">
        <f>SUM(B38:B43)</f>
        <v>83318</v>
      </c>
      <c r="C37" s="143">
        <f t="shared" si="1"/>
        <v>0</v>
      </c>
      <c r="D37" s="143">
        <v>83318</v>
      </c>
      <c r="E37" s="143">
        <f t="shared" ref="E37:J37" si="6">SUM(E38:E43)</f>
        <v>62919</v>
      </c>
      <c r="F37" s="143">
        <f t="shared" si="5"/>
        <v>-45567</v>
      </c>
      <c r="G37" s="143">
        <f t="shared" si="6"/>
        <v>17352</v>
      </c>
      <c r="H37" s="143">
        <f t="shared" si="6"/>
        <v>24501</v>
      </c>
      <c r="I37" s="143">
        <f t="shared" si="3"/>
        <v>-6528</v>
      </c>
      <c r="J37" s="143">
        <f t="shared" si="6"/>
        <v>17973</v>
      </c>
    </row>
    <row r="38" ht="15.75" spans="1:10">
      <c r="A38" s="145" t="s">
        <v>126</v>
      </c>
      <c r="B38" s="85"/>
      <c r="C38" s="143">
        <f t="shared" si="1"/>
        <v>0</v>
      </c>
      <c r="D38" s="85"/>
      <c r="E38" s="85"/>
      <c r="F38" s="143">
        <f t="shared" si="5"/>
        <v>0</v>
      </c>
      <c r="G38" s="85"/>
      <c r="H38" s="85"/>
      <c r="I38" s="143">
        <f t="shared" si="3"/>
        <v>0</v>
      </c>
      <c r="J38" s="85"/>
    </row>
    <row r="39" ht="15.75" spans="1:10">
      <c r="A39" s="145" t="s">
        <v>127</v>
      </c>
      <c r="B39" s="85"/>
      <c r="C39" s="143">
        <f t="shared" si="1"/>
        <v>0</v>
      </c>
      <c r="D39" s="85"/>
      <c r="E39" s="85"/>
      <c r="F39" s="143">
        <f t="shared" si="5"/>
        <v>0</v>
      </c>
      <c r="G39" s="85"/>
      <c r="H39" s="85"/>
      <c r="I39" s="143">
        <f t="shared" si="3"/>
        <v>0</v>
      </c>
      <c r="J39" s="85"/>
    </row>
    <row r="40" ht="15.75" spans="1:10">
      <c r="A40" s="145" t="s">
        <v>128</v>
      </c>
      <c r="B40" s="85"/>
      <c r="C40" s="143">
        <f t="shared" si="1"/>
        <v>0</v>
      </c>
      <c r="D40" s="85"/>
      <c r="E40" s="85"/>
      <c r="F40" s="143">
        <f t="shared" si="5"/>
        <v>0</v>
      </c>
      <c r="G40" s="85"/>
      <c r="H40" s="85"/>
      <c r="I40" s="143">
        <f t="shared" si="3"/>
        <v>0</v>
      </c>
      <c r="J40" s="85"/>
    </row>
    <row r="41" ht="15.75" spans="1:10">
      <c r="A41" s="145" t="s">
        <v>129</v>
      </c>
      <c r="B41" s="85"/>
      <c r="C41" s="143">
        <f t="shared" si="1"/>
        <v>0</v>
      </c>
      <c r="D41" s="85"/>
      <c r="E41" s="85"/>
      <c r="F41" s="143">
        <f t="shared" si="5"/>
        <v>0</v>
      </c>
      <c r="G41" s="85"/>
      <c r="H41" s="85"/>
      <c r="I41" s="143">
        <f t="shared" si="3"/>
        <v>0</v>
      </c>
      <c r="J41" s="85"/>
    </row>
    <row r="42" ht="15.75" spans="1:10">
      <c r="A42" s="145" t="s">
        <v>130</v>
      </c>
      <c r="B42" s="85">
        <v>83318</v>
      </c>
      <c r="C42" s="143">
        <f t="shared" si="1"/>
        <v>0</v>
      </c>
      <c r="D42" s="85">
        <v>83318</v>
      </c>
      <c r="E42" s="85">
        <v>62919</v>
      </c>
      <c r="F42" s="143">
        <f t="shared" si="5"/>
        <v>-45567</v>
      </c>
      <c r="G42" s="85">
        <f>17352</f>
        <v>17352</v>
      </c>
      <c r="H42" s="85">
        <v>24501</v>
      </c>
      <c r="I42" s="143">
        <f t="shared" si="3"/>
        <v>-6528</v>
      </c>
      <c r="J42" s="85">
        <v>17973</v>
      </c>
    </row>
    <row r="43" ht="15.75" spans="1:10">
      <c r="A43" s="145" t="s">
        <v>131</v>
      </c>
      <c r="B43" s="85"/>
      <c r="C43" s="143">
        <f t="shared" si="1"/>
        <v>0</v>
      </c>
      <c r="D43" s="85"/>
      <c r="E43" s="85"/>
      <c r="F43" s="143">
        <f t="shared" si="5"/>
        <v>0</v>
      </c>
      <c r="G43" s="85"/>
      <c r="H43" s="85"/>
      <c r="I43" s="143">
        <f t="shared" si="3"/>
        <v>0</v>
      </c>
      <c r="J43" s="85"/>
    </row>
    <row r="44" s="135" customFormat="1" ht="20.25" customHeight="1" spans="1:10">
      <c r="A44" s="149" t="s">
        <v>132</v>
      </c>
      <c r="B44" s="143">
        <v>1589603</v>
      </c>
      <c r="C44" s="143">
        <f t="shared" si="1"/>
        <v>-600938.92</v>
      </c>
      <c r="D44" s="143">
        <v>988664.08</v>
      </c>
      <c r="E44" s="143">
        <v>1637452</v>
      </c>
      <c r="F44" s="143">
        <f t="shared" si="5"/>
        <v>-551898.48</v>
      </c>
      <c r="G44" s="143">
        <v>1085553.52</v>
      </c>
      <c r="H44" s="143">
        <v>1323925</v>
      </c>
      <c r="I44" s="143">
        <f t="shared" si="3"/>
        <v>-127038.3</v>
      </c>
      <c r="J44" s="143">
        <v>1196886.7</v>
      </c>
    </row>
    <row r="45" ht="15.75" spans="1:10">
      <c r="A45" s="144" t="s">
        <v>48</v>
      </c>
      <c r="B45" s="85">
        <v>1158954</v>
      </c>
      <c r="C45" s="143">
        <f t="shared" si="1"/>
        <v>-1158954</v>
      </c>
      <c r="D45" s="85"/>
      <c r="E45" s="85">
        <v>1196835</v>
      </c>
      <c r="F45" s="143">
        <f t="shared" si="5"/>
        <v>-1196835</v>
      </c>
      <c r="G45" s="85"/>
      <c r="H45" s="85">
        <v>1196835</v>
      </c>
      <c r="I45" s="143">
        <f t="shared" si="3"/>
        <v>-1196835</v>
      </c>
      <c r="J45" s="85"/>
    </row>
    <row r="46" ht="15.75" spans="1:10">
      <c r="A46" s="144" t="s">
        <v>49</v>
      </c>
      <c r="B46" s="85">
        <v>205222</v>
      </c>
      <c r="C46" s="143">
        <f t="shared" si="1"/>
        <v>-205222</v>
      </c>
      <c r="D46" s="85"/>
      <c r="E46" s="85">
        <v>207414</v>
      </c>
      <c r="F46" s="143">
        <f t="shared" si="5"/>
        <v>-207414</v>
      </c>
      <c r="G46" s="85"/>
      <c r="H46" s="85">
        <v>44588</v>
      </c>
      <c r="I46" s="143">
        <f t="shared" si="3"/>
        <v>-44588</v>
      </c>
      <c r="J46" s="85"/>
    </row>
    <row r="47" ht="15.75" spans="1:10">
      <c r="A47" s="144" t="s">
        <v>50</v>
      </c>
      <c r="B47" s="85">
        <v>208913</v>
      </c>
      <c r="C47" s="143">
        <f t="shared" si="1"/>
        <v>-208913</v>
      </c>
      <c r="D47" s="85"/>
      <c r="E47" s="85">
        <v>216689</v>
      </c>
      <c r="F47" s="143">
        <f t="shared" si="5"/>
        <v>-216689</v>
      </c>
      <c r="G47" s="85"/>
      <c r="H47" s="85">
        <v>65988</v>
      </c>
      <c r="I47" s="143">
        <f t="shared" si="3"/>
        <v>-65988</v>
      </c>
      <c r="J47" s="85"/>
    </row>
    <row r="48" ht="15.75" spans="1:10">
      <c r="A48" s="144" t="s">
        <v>51</v>
      </c>
      <c r="B48" s="85">
        <v>16514</v>
      </c>
      <c r="C48" s="143">
        <f t="shared" si="1"/>
        <v>-16514</v>
      </c>
      <c r="D48" s="85"/>
      <c r="E48" s="85">
        <v>16514</v>
      </c>
      <c r="F48" s="143">
        <f t="shared" si="5"/>
        <v>-16514</v>
      </c>
      <c r="G48" s="85"/>
      <c r="H48" s="85">
        <v>16514</v>
      </c>
      <c r="I48" s="143">
        <f t="shared" si="3"/>
        <v>-16514</v>
      </c>
      <c r="J48" s="85"/>
    </row>
    <row r="49" ht="15.75" spans="1:10">
      <c r="A49" s="145" t="s">
        <v>133</v>
      </c>
      <c r="B49" s="85"/>
      <c r="C49" s="143">
        <f t="shared" si="1"/>
        <v>0</v>
      </c>
      <c r="D49" s="85"/>
      <c r="E49" s="85"/>
      <c r="F49" s="143">
        <f t="shared" si="5"/>
        <v>0</v>
      </c>
      <c r="G49" s="85"/>
      <c r="H49" s="85"/>
      <c r="I49" s="143">
        <f t="shared" si="3"/>
        <v>0</v>
      </c>
      <c r="J49" s="85"/>
    </row>
    <row r="50" ht="22.5" customHeight="1" spans="1:10">
      <c r="A50" s="150" t="s">
        <v>134</v>
      </c>
      <c r="B50" s="85"/>
      <c r="C50" s="143"/>
      <c r="D50" s="85"/>
      <c r="E50" s="85"/>
      <c r="F50" s="143"/>
      <c r="G50" s="85"/>
      <c r="H50" s="85"/>
      <c r="I50" s="143"/>
      <c r="J50" s="85"/>
    </row>
    <row r="51" s="135" customFormat="1" ht="15.75" spans="1:10">
      <c r="A51" s="151" t="s">
        <v>135</v>
      </c>
      <c r="B51" s="143">
        <f>B52+B54-B53</f>
        <v>909263</v>
      </c>
      <c r="C51" s="143">
        <f t="shared" si="1"/>
        <v>-283690.056</v>
      </c>
      <c r="D51" s="85">
        <f>B51*0.688</f>
        <v>625572.944</v>
      </c>
      <c r="E51" s="143">
        <v>900740</v>
      </c>
      <c r="F51" s="143">
        <f t="shared" si="5"/>
        <v>-224284.26</v>
      </c>
      <c r="G51" s="143">
        <f>E51*0.751</f>
        <v>676455.74</v>
      </c>
      <c r="H51" s="143">
        <f>SUM(H52:H54)</f>
        <v>881541</v>
      </c>
      <c r="I51" s="143">
        <f t="shared" si="3"/>
        <v>-105784.92</v>
      </c>
      <c r="J51" s="143">
        <f>H51*0.88</f>
        <v>775756.08</v>
      </c>
    </row>
    <row r="52" ht="15.75" spans="1:10">
      <c r="A52" s="93" t="s">
        <v>136</v>
      </c>
      <c r="B52" s="85">
        <v>908349</v>
      </c>
      <c r="C52" s="143">
        <f t="shared" si="1"/>
        <v>-908349</v>
      </c>
      <c r="D52" s="85"/>
      <c r="E52" s="85">
        <v>900140</v>
      </c>
      <c r="F52" s="143">
        <f t="shared" si="5"/>
        <v>-900140</v>
      </c>
      <c r="G52" s="85"/>
      <c r="H52" s="85">
        <v>880849</v>
      </c>
      <c r="I52" s="143">
        <f t="shared" si="3"/>
        <v>-880849</v>
      </c>
      <c r="J52" s="85"/>
    </row>
    <row r="53" ht="15.75" spans="1:10">
      <c r="A53" s="93" t="s">
        <v>137</v>
      </c>
      <c r="B53" s="85"/>
      <c r="C53" s="143">
        <f t="shared" si="1"/>
        <v>0</v>
      </c>
      <c r="D53" s="85"/>
      <c r="E53" s="85"/>
      <c r="F53" s="143">
        <f t="shared" si="5"/>
        <v>0</v>
      </c>
      <c r="G53" s="85"/>
      <c r="H53" s="85"/>
      <c r="I53" s="143">
        <f t="shared" si="3"/>
        <v>0</v>
      </c>
      <c r="J53" s="85"/>
    </row>
    <row r="54" ht="15.75" spans="1:10">
      <c r="A54" s="93" t="s">
        <v>138</v>
      </c>
      <c r="B54" s="85">
        <v>914</v>
      </c>
      <c r="C54" s="143">
        <f t="shared" si="1"/>
        <v>-914</v>
      </c>
      <c r="D54" s="85"/>
      <c r="E54" s="85">
        <v>600</v>
      </c>
      <c r="F54" s="143">
        <f t="shared" si="5"/>
        <v>-600</v>
      </c>
      <c r="G54" s="85"/>
      <c r="H54" s="85">
        <v>692</v>
      </c>
      <c r="I54" s="143">
        <f t="shared" si="3"/>
        <v>-692</v>
      </c>
      <c r="J54" s="85"/>
    </row>
    <row r="55" s="135" customFormat="1" ht="15.75" spans="1:10">
      <c r="A55" s="151" t="s">
        <v>139</v>
      </c>
      <c r="B55" s="143">
        <f>B5+B12+B37+B44+B51</f>
        <v>9101177</v>
      </c>
      <c r="C55" s="143">
        <f t="shared" si="1"/>
        <v>-964392.064</v>
      </c>
      <c r="D55" s="143">
        <f>D5+D12+D37+D44+D51+D50</f>
        <v>8136784.936</v>
      </c>
      <c r="E55" s="143">
        <f t="shared" ref="E55:H55" si="7">E5+E12+E37+E44+E51</f>
        <v>10535914</v>
      </c>
      <c r="F55" s="143">
        <f t="shared" si="5"/>
        <v>-1165665.91</v>
      </c>
      <c r="G55" s="143">
        <f>G5+G12+G37+G44+G51+G50</f>
        <v>9370248.09</v>
      </c>
      <c r="H55" s="143">
        <f t="shared" si="7"/>
        <v>12689702</v>
      </c>
      <c r="I55" s="143">
        <f t="shared" si="3"/>
        <v>-2346959.7</v>
      </c>
      <c r="J55" s="143">
        <f>J5+J12+J37+J44+J51+J50</f>
        <v>10342742.3</v>
      </c>
    </row>
  </sheetData>
  <mergeCells count="1">
    <mergeCell ref="A2:J2"/>
  </mergeCells>
  <pageMargins left="0.629861111111111" right="0.511811023622047" top="0.748031496062992" bottom="0.748031496062992" header="0.31496062992126" footer="0.31496062992126"/>
  <pageSetup paperSize="9"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5"/>
  <sheetViews>
    <sheetView workbookViewId="0">
      <selection activeCell="F21" sqref="F21"/>
    </sheetView>
  </sheetViews>
  <sheetFormatPr defaultColWidth="9" defaultRowHeight="13.5" outlineLevelCol="3"/>
  <cols>
    <col min="1" max="1" width="33.875" customWidth="1"/>
    <col min="2" max="2" width="16.5" style="3" customWidth="1"/>
    <col min="3" max="3" width="18.375" style="3" customWidth="1"/>
    <col min="4" max="4" width="16.375" style="3" customWidth="1"/>
  </cols>
  <sheetData>
    <row r="1" ht="20.25" spans="1:2">
      <c r="A1" s="111" t="s">
        <v>140</v>
      </c>
      <c r="B1" s="112"/>
    </row>
    <row r="2" ht="25.5" customHeight="1" spans="1:4">
      <c r="A2" s="113" t="s">
        <v>141</v>
      </c>
      <c r="B2" s="113"/>
      <c r="C2" s="113"/>
      <c r="D2" s="113"/>
    </row>
    <row r="3" spans="1:2">
      <c r="A3" s="114"/>
      <c r="B3" s="115"/>
    </row>
    <row r="4" ht="43.5" customHeight="1" spans="1:4">
      <c r="A4" s="116" t="s">
        <v>142</v>
      </c>
      <c r="B4" s="117" t="s">
        <v>143</v>
      </c>
      <c r="C4" s="117" t="s">
        <v>20</v>
      </c>
      <c r="D4" s="117" t="s">
        <v>21</v>
      </c>
    </row>
    <row r="5" ht="24" customHeight="1" spans="1:4">
      <c r="A5" s="118" t="s">
        <v>144</v>
      </c>
      <c r="B5" s="119"/>
      <c r="C5" s="119"/>
      <c r="D5" s="119"/>
    </row>
    <row r="6" ht="24" customHeight="1" spans="1:4">
      <c r="A6" s="120" t="s">
        <v>145</v>
      </c>
      <c r="B6" s="121">
        <v>1067</v>
      </c>
      <c r="C6" s="121">
        <v>1032</v>
      </c>
      <c r="D6" s="121">
        <v>1067</v>
      </c>
    </row>
    <row r="7" ht="24" customHeight="1" spans="1:4">
      <c r="A7" s="120" t="s">
        <v>146</v>
      </c>
      <c r="B7" s="121">
        <v>56</v>
      </c>
      <c r="C7" s="121">
        <v>63</v>
      </c>
      <c r="D7" s="121">
        <v>65</v>
      </c>
    </row>
    <row r="8" ht="24" customHeight="1" spans="1:4">
      <c r="A8" s="122" t="s">
        <v>147</v>
      </c>
      <c r="B8" s="123"/>
      <c r="C8" s="123"/>
      <c r="D8" s="123"/>
    </row>
    <row r="9" ht="24" customHeight="1" spans="1:4">
      <c r="A9" s="124" t="s">
        <v>148</v>
      </c>
      <c r="B9" s="125">
        <f>9/56</f>
        <v>0.160714285714286</v>
      </c>
      <c r="C9" s="126">
        <f>9/63</f>
        <v>0.142857142857143</v>
      </c>
      <c r="D9" s="125">
        <f>9/65</f>
        <v>0.138461538461538</v>
      </c>
    </row>
    <row r="10" ht="24" customHeight="1" spans="1:4">
      <c r="A10" s="122" t="s">
        <v>149</v>
      </c>
      <c r="B10" s="127"/>
      <c r="C10" s="127"/>
      <c r="D10" s="127"/>
    </row>
    <row r="11" ht="24" customHeight="1" spans="1:4">
      <c r="A11" s="120" t="s">
        <v>150</v>
      </c>
      <c r="B11" s="128">
        <f>1067/47</f>
        <v>22.7021276595745</v>
      </c>
      <c r="C11" s="128">
        <f>C6/54</f>
        <v>19.1111111111111</v>
      </c>
      <c r="D11" s="128">
        <f>1067/56</f>
        <v>19.0535714285714</v>
      </c>
    </row>
    <row r="12" ht="24" customHeight="1" spans="1:4">
      <c r="A12" s="120" t="s">
        <v>151</v>
      </c>
      <c r="B12" s="127"/>
      <c r="C12" s="127"/>
      <c r="D12" s="127"/>
    </row>
    <row r="13" ht="24" customHeight="1" spans="1:4">
      <c r="A13" s="120" t="s">
        <v>152</v>
      </c>
      <c r="B13" s="127"/>
      <c r="C13" s="127"/>
      <c r="D13" s="127"/>
    </row>
    <row r="14" ht="24" customHeight="1" spans="1:4">
      <c r="A14" s="122" t="s">
        <v>153</v>
      </c>
      <c r="B14" s="129">
        <f>B15+B16+B17+B18+B20+B19</f>
        <v>8136784.95</v>
      </c>
      <c r="C14" s="129">
        <f>C15+C16+C17+C18+C20+C19</f>
        <v>9370248.09</v>
      </c>
      <c r="D14" s="129">
        <f>D15+D16+D17+D18+D20+D19</f>
        <v>11370879.3</v>
      </c>
    </row>
    <row r="15" ht="24" customHeight="1" spans="1:4">
      <c r="A15" s="120" t="s">
        <v>154</v>
      </c>
      <c r="B15" s="130">
        <v>4705614</v>
      </c>
      <c r="C15" s="130">
        <v>5713882.9</v>
      </c>
      <c r="D15" s="130">
        <v>7759537</v>
      </c>
    </row>
    <row r="16" ht="24" customHeight="1" spans="1:4">
      <c r="A16" s="120" t="s">
        <v>155</v>
      </c>
      <c r="B16" s="130">
        <v>1733615.92</v>
      </c>
      <c r="C16" s="130">
        <v>1877003.93</v>
      </c>
      <c r="D16" s="130">
        <v>1620726.52</v>
      </c>
    </row>
    <row r="17" ht="24" customHeight="1" spans="1:4">
      <c r="A17" s="120" t="s">
        <v>156</v>
      </c>
      <c r="B17" s="130">
        <v>83318</v>
      </c>
      <c r="C17" s="130">
        <v>17352</v>
      </c>
      <c r="D17" s="130">
        <v>17973</v>
      </c>
    </row>
    <row r="18" ht="24" customHeight="1" spans="1:4">
      <c r="A18" s="120" t="s">
        <v>157</v>
      </c>
      <c r="B18" s="130">
        <v>988664.08</v>
      </c>
      <c r="C18" s="130">
        <v>1085553.52</v>
      </c>
      <c r="D18" s="130">
        <v>1196886.7</v>
      </c>
    </row>
    <row r="19" ht="24" customHeight="1" spans="1:4">
      <c r="A19" s="131" t="s">
        <v>158</v>
      </c>
      <c r="B19" s="130"/>
      <c r="C19" s="130"/>
      <c r="D19" s="130"/>
    </row>
    <row r="20" ht="24" customHeight="1" spans="1:4">
      <c r="A20" s="120" t="s">
        <v>159</v>
      </c>
      <c r="B20" s="130">
        <v>625572.95</v>
      </c>
      <c r="C20" s="130">
        <v>676455.74</v>
      </c>
      <c r="D20" s="130">
        <v>775756.08</v>
      </c>
    </row>
    <row r="21" ht="24" customHeight="1" spans="1:4">
      <c r="A21" s="122" t="s">
        <v>160</v>
      </c>
      <c r="B21" s="127">
        <v>218700</v>
      </c>
      <c r="C21" s="127">
        <v>1006900</v>
      </c>
      <c r="D21" s="127">
        <v>690400</v>
      </c>
    </row>
    <row r="22" ht="24" customHeight="1" spans="1:4">
      <c r="A22" s="122" t="s">
        <v>161</v>
      </c>
      <c r="B22" s="130">
        <f>B14-B21</f>
        <v>7918084.95</v>
      </c>
      <c r="C22" s="130">
        <f t="shared" ref="C22:D22" si="0">C14-C21</f>
        <v>8363348.09</v>
      </c>
      <c r="D22" s="130">
        <f t="shared" si="0"/>
        <v>10680479.3</v>
      </c>
    </row>
    <row r="23" ht="24" customHeight="1" spans="1:4">
      <c r="A23" s="122" t="s">
        <v>162</v>
      </c>
      <c r="B23" s="129">
        <f>B22/B6</f>
        <v>7420.88561387067</v>
      </c>
      <c r="C23" s="129">
        <f t="shared" ref="C23:D23" si="1">C22/C6</f>
        <v>8104.01946705426</v>
      </c>
      <c r="D23" s="129">
        <f t="shared" si="1"/>
        <v>10009.8212746017</v>
      </c>
    </row>
    <row r="24" ht="24" customHeight="1" spans="1:4">
      <c r="A24" s="120" t="s">
        <v>163</v>
      </c>
      <c r="B24" s="130">
        <f>B23</f>
        <v>7420.88561387067</v>
      </c>
      <c r="C24" s="130">
        <f>C23</f>
        <v>8104.01946705426</v>
      </c>
      <c r="D24" s="130">
        <f>D23</f>
        <v>10009.8212746017</v>
      </c>
    </row>
    <row r="25" ht="24" customHeight="1" spans="1:4">
      <c r="A25" s="124" t="s">
        <v>164</v>
      </c>
      <c r="B25" s="132">
        <f>(B24+C24+D24)/3</f>
        <v>8511.57545184221</v>
      </c>
      <c r="C25" s="133"/>
      <c r="D25" s="134"/>
    </row>
  </sheetData>
  <mergeCells count="3">
    <mergeCell ref="A2:D2"/>
    <mergeCell ref="A3:B3"/>
    <mergeCell ref="B25:D25"/>
  </mergeCells>
  <pageMargins left="0.904861111111111" right="0.7"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9"/>
  <sheetViews>
    <sheetView workbookViewId="0">
      <selection activeCell="A1" sqref="A1:E1"/>
    </sheetView>
  </sheetViews>
  <sheetFormatPr defaultColWidth="9" defaultRowHeight="13.5" outlineLevelCol="4"/>
  <cols>
    <col min="1" max="1" width="17.125" customWidth="1"/>
    <col min="2" max="2" width="16.375" customWidth="1"/>
    <col min="3" max="3" width="15.625" customWidth="1"/>
    <col min="4" max="4" width="15.75" customWidth="1"/>
    <col min="5" max="5" width="12.125" customWidth="1"/>
  </cols>
  <sheetData>
    <row r="1" ht="25.5" spans="1:5">
      <c r="A1" s="97" t="s">
        <v>165</v>
      </c>
      <c r="B1" s="97"/>
      <c r="C1" s="97"/>
      <c r="D1" s="97"/>
      <c r="E1" s="97"/>
    </row>
    <row r="2" ht="14.25" spans="1:5">
      <c r="A2" s="98" t="s">
        <v>166</v>
      </c>
      <c r="B2" s="98" t="s">
        <v>167</v>
      </c>
      <c r="C2" s="98" t="s">
        <v>168</v>
      </c>
      <c r="D2" s="98" t="s">
        <v>169</v>
      </c>
      <c r="E2" s="98" t="s">
        <v>170</v>
      </c>
    </row>
    <row r="3" ht="15.75" spans="1:5">
      <c r="A3" s="99" t="s">
        <v>171</v>
      </c>
      <c r="B3" s="99"/>
      <c r="C3" s="99"/>
      <c r="D3" s="99"/>
      <c r="E3" s="99"/>
    </row>
    <row r="4" ht="15.75" spans="1:5">
      <c r="A4" s="99">
        <v>2019</v>
      </c>
      <c r="B4" s="99">
        <v>21</v>
      </c>
      <c r="C4" s="99">
        <v>1074</v>
      </c>
      <c r="D4" s="99">
        <v>1052</v>
      </c>
      <c r="E4" s="99">
        <f>(C4*8+D4*4)/12</f>
        <v>1066.66666666667</v>
      </c>
    </row>
    <row r="5" ht="15.75" spans="1:5">
      <c r="A5" s="99">
        <v>2020</v>
      </c>
      <c r="B5" s="99">
        <v>22</v>
      </c>
      <c r="C5" s="99">
        <v>1047</v>
      </c>
      <c r="D5" s="99">
        <v>1001</v>
      </c>
      <c r="E5" s="99">
        <f t="shared" ref="E5:E6" si="0">(C5*8+D5*4)/12</f>
        <v>1031.66666666667</v>
      </c>
    </row>
    <row r="6" ht="15.75" spans="1:5">
      <c r="A6" s="99">
        <v>2021</v>
      </c>
      <c r="B6" s="99">
        <v>22</v>
      </c>
      <c r="C6" s="99">
        <v>1079</v>
      </c>
      <c r="D6" s="99">
        <v>1041</v>
      </c>
      <c r="E6" s="99">
        <f t="shared" si="0"/>
        <v>1066.33333333333</v>
      </c>
    </row>
    <row r="7" ht="15.75" spans="1:5">
      <c r="A7" s="99"/>
      <c r="B7" s="99"/>
      <c r="C7" s="99"/>
      <c r="D7" s="99"/>
      <c r="E7" s="99"/>
    </row>
    <row r="8" ht="15.75" spans="1:5">
      <c r="A8" s="99"/>
      <c r="B8" s="99"/>
      <c r="C8" s="99"/>
      <c r="D8" s="99"/>
      <c r="E8" s="99"/>
    </row>
    <row r="9" ht="15.75" spans="1:5">
      <c r="A9" s="99"/>
      <c r="B9" s="99"/>
      <c r="C9" s="99"/>
      <c r="D9" s="99"/>
      <c r="E9" s="99"/>
    </row>
    <row r="10" ht="15.75" spans="1:5">
      <c r="A10" s="99"/>
      <c r="B10" s="99"/>
      <c r="C10" s="99"/>
      <c r="D10" s="99"/>
      <c r="E10" s="99"/>
    </row>
    <row r="11" ht="15.75" spans="1:5">
      <c r="A11" s="99"/>
      <c r="B11" s="99"/>
      <c r="C11" s="99"/>
      <c r="D11" s="99"/>
      <c r="E11" s="99"/>
    </row>
    <row r="12" ht="15.75" spans="1:5">
      <c r="A12" s="99"/>
      <c r="B12" s="99"/>
      <c r="C12" s="99"/>
      <c r="D12" s="99"/>
      <c r="E12" s="99"/>
    </row>
    <row r="13" ht="15.75" spans="1:5">
      <c r="A13" s="99"/>
      <c r="B13" s="99"/>
      <c r="C13" s="99"/>
      <c r="D13" s="99"/>
      <c r="E13" s="99"/>
    </row>
    <row r="14" ht="15.75" spans="1:5">
      <c r="A14" s="99"/>
      <c r="B14" s="99"/>
      <c r="C14" s="99"/>
      <c r="D14" s="99"/>
      <c r="E14" s="99"/>
    </row>
    <row r="15" ht="15.75" spans="1:5">
      <c r="A15" s="99"/>
      <c r="B15" s="99"/>
      <c r="C15" s="99"/>
      <c r="D15" s="99"/>
      <c r="E15" s="100"/>
    </row>
    <row r="16" ht="15.75" spans="1:5">
      <c r="A16" s="101" t="s">
        <v>172</v>
      </c>
      <c r="B16" s="99" t="s">
        <v>173</v>
      </c>
      <c r="C16" s="99" t="s">
        <v>174</v>
      </c>
      <c r="D16" s="99" t="s">
        <v>175</v>
      </c>
      <c r="E16" s="99" t="s">
        <v>176</v>
      </c>
    </row>
    <row r="17" ht="15.75" spans="1:5">
      <c r="A17" s="102" t="s">
        <v>177</v>
      </c>
      <c r="B17" s="99">
        <v>1067</v>
      </c>
      <c r="C17" s="100">
        <v>1032</v>
      </c>
      <c r="D17" s="100">
        <v>1067</v>
      </c>
      <c r="E17" s="100">
        <f>B17+C17+D17</f>
        <v>3166</v>
      </c>
    </row>
    <row r="18" spans="1:5">
      <c r="A18" s="103" t="s">
        <v>178</v>
      </c>
      <c r="B18" s="104" t="s">
        <v>179</v>
      </c>
      <c r="C18" s="105"/>
      <c r="D18" s="105"/>
      <c r="E18" s="106"/>
    </row>
    <row r="19" spans="1:5">
      <c r="A19" s="107"/>
      <c r="B19" s="108"/>
      <c r="C19" s="109"/>
      <c r="D19" s="109"/>
      <c r="E19" s="110"/>
    </row>
  </sheetData>
  <mergeCells count="3">
    <mergeCell ref="A1:E1"/>
    <mergeCell ref="A18:A19"/>
    <mergeCell ref="B18:E19"/>
  </mergeCells>
  <pageMargins left="1.22013888888889" right="0.7"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4"/>
  <sheetViews>
    <sheetView workbookViewId="0">
      <selection activeCell="J11" sqref="J11"/>
    </sheetView>
  </sheetViews>
  <sheetFormatPr defaultColWidth="9" defaultRowHeight="13.5"/>
  <cols>
    <col min="1" max="1" width="24.375" style="76" customWidth="1"/>
    <col min="2" max="2" width="11" style="76" customWidth="1"/>
    <col min="3" max="3" width="9.625" style="76" customWidth="1"/>
    <col min="4" max="7" width="9" style="76"/>
    <col min="8" max="8" width="12.375" style="76" customWidth="1"/>
    <col min="9" max="9" width="12" style="76" customWidth="1"/>
    <col min="10" max="10" width="11.25" style="76" customWidth="1"/>
    <col min="11" max="11" width="12" style="76" customWidth="1"/>
    <col min="12" max="12" width="13" style="76" customWidth="1"/>
    <col min="13" max="13" width="11.625" style="76" customWidth="1"/>
    <col min="14" max="14" width="11.375" style="76" customWidth="1"/>
    <col min="15" max="16384" width="9" style="76"/>
  </cols>
  <sheetData>
    <row r="1" ht="25.5" spans="1:14">
      <c r="A1" s="77" t="s">
        <v>180</v>
      </c>
      <c r="B1" s="77"/>
      <c r="C1" s="77"/>
      <c r="D1" s="77"/>
      <c r="E1" s="77"/>
      <c r="F1" s="77"/>
      <c r="G1" s="77"/>
      <c r="H1" s="78"/>
      <c r="I1" s="94" t="s">
        <v>181</v>
      </c>
      <c r="J1" s="95"/>
      <c r="K1" s="95"/>
      <c r="L1" s="95"/>
      <c r="M1" s="95"/>
      <c r="N1" s="95"/>
    </row>
    <row r="2" ht="28.5" spans="1:14">
      <c r="A2" s="79" t="s">
        <v>182</v>
      </c>
      <c r="B2" s="79" t="s">
        <v>183</v>
      </c>
      <c r="C2" s="79" t="s">
        <v>184</v>
      </c>
      <c r="D2" s="79" t="s">
        <v>185</v>
      </c>
      <c r="E2" s="79" t="s">
        <v>186</v>
      </c>
      <c r="F2" s="79" t="s">
        <v>170</v>
      </c>
      <c r="G2" s="79" t="s">
        <v>187</v>
      </c>
      <c r="H2" s="78"/>
      <c r="I2" s="96" t="s">
        <v>188</v>
      </c>
      <c r="J2" s="96" t="s">
        <v>189</v>
      </c>
      <c r="K2" s="96" t="s">
        <v>190</v>
      </c>
      <c r="L2" s="96" t="s">
        <v>191</v>
      </c>
      <c r="M2" s="96" t="s">
        <v>192</v>
      </c>
      <c r="N2" s="96" t="s">
        <v>193</v>
      </c>
    </row>
    <row r="3" ht="15.75" spans="1:14">
      <c r="A3" s="80" t="s">
        <v>194</v>
      </c>
      <c r="B3" s="79"/>
      <c r="C3" s="79"/>
      <c r="D3" s="79"/>
      <c r="E3" s="81"/>
      <c r="F3" s="82"/>
      <c r="G3" s="79"/>
      <c r="H3" s="83" t="s">
        <v>57</v>
      </c>
      <c r="I3" s="78">
        <v>81700</v>
      </c>
      <c r="J3" s="78">
        <v>56</v>
      </c>
      <c r="K3" s="78">
        <f>I3*J3</f>
        <v>4575200</v>
      </c>
      <c r="L3" s="78">
        <f>K3*1.2</f>
        <v>5490240</v>
      </c>
      <c r="M3" s="78"/>
      <c r="N3" s="78"/>
    </row>
    <row r="4" ht="15.75" spans="1:14">
      <c r="A4" s="84" t="s">
        <v>195</v>
      </c>
      <c r="B4" s="85"/>
      <c r="C4" s="85"/>
      <c r="D4" s="86"/>
      <c r="E4" s="86"/>
      <c r="F4" s="85"/>
      <c r="G4" s="85"/>
      <c r="H4" s="83" t="s">
        <v>58</v>
      </c>
      <c r="I4" s="78">
        <v>84000</v>
      </c>
      <c r="J4" s="78">
        <v>63</v>
      </c>
      <c r="K4" s="78">
        <f t="shared" ref="K4:K5" si="0">I4*J4</f>
        <v>5292000</v>
      </c>
      <c r="L4" s="78">
        <f t="shared" ref="L4:L5" si="1">K4*1.2</f>
        <v>6350400</v>
      </c>
      <c r="M4" s="78"/>
      <c r="N4" s="78"/>
    </row>
    <row r="5" ht="15.75" spans="1:14">
      <c r="A5" s="87" t="s">
        <v>34</v>
      </c>
      <c r="B5" s="85"/>
      <c r="C5" s="85"/>
      <c r="D5" s="86"/>
      <c r="E5" s="86"/>
      <c r="F5" s="86"/>
      <c r="G5" s="85"/>
      <c r="H5" s="83" t="s">
        <v>59</v>
      </c>
      <c r="I5" s="78">
        <v>86300</v>
      </c>
      <c r="J5" s="78">
        <v>65</v>
      </c>
      <c r="K5" s="78">
        <f t="shared" si="0"/>
        <v>5609500</v>
      </c>
      <c r="L5" s="78">
        <f t="shared" si="1"/>
        <v>6731400</v>
      </c>
      <c r="M5" s="78"/>
      <c r="N5" s="78"/>
    </row>
    <row r="6" ht="15.75" spans="1:7">
      <c r="A6" s="88" t="s">
        <v>196</v>
      </c>
      <c r="B6" s="85">
        <v>43</v>
      </c>
      <c r="C6" s="85">
        <v>53</v>
      </c>
      <c r="D6" s="86">
        <f>(B6*8+C6*4)/12</f>
        <v>46.3333333333333</v>
      </c>
      <c r="E6" s="86">
        <f>1067/19</f>
        <v>56.1578947368421</v>
      </c>
      <c r="F6" s="85">
        <v>47</v>
      </c>
      <c r="G6" s="85"/>
    </row>
    <row r="7" ht="15.75" spans="1:7">
      <c r="A7" s="88" t="s">
        <v>197</v>
      </c>
      <c r="B7" s="85"/>
      <c r="C7" s="85"/>
      <c r="D7" s="85"/>
      <c r="E7" s="86"/>
      <c r="F7" s="85"/>
      <c r="G7" s="85"/>
    </row>
    <row r="8" ht="15.75" spans="1:7">
      <c r="A8" s="88" t="s">
        <v>198</v>
      </c>
      <c r="B8" s="85"/>
      <c r="C8" s="85"/>
      <c r="D8" s="85"/>
      <c r="E8" s="86"/>
      <c r="F8" s="85"/>
      <c r="G8" s="85"/>
    </row>
    <row r="9" ht="15.75" spans="1:7">
      <c r="A9" s="89" t="s">
        <v>38</v>
      </c>
      <c r="B9" s="85"/>
      <c r="C9" s="85"/>
      <c r="D9" s="85"/>
      <c r="E9" s="86"/>
      <c r="F9" s="85"/>
      <c r="G9" s="90"/>
    </row>
    <row r="10" ht="15.75" spans="1:7">
      <c r="A10" s="87" t="s">
        <v>39</v>
      </c>
      <c r="B10" s="85"/>
      <c r="C10" s="85"/>
      <c r="D10" s="85"/>
      <c r="E10" s="86">
        <v>9</v>
      </c>
      <c r="F10" s="85">
        <v>9</v>
      </c>
      <c r="G10" s="90">
        <v>38</v>
      </c>
    </row>
    <row r="11" ht="15.75" spans="1:7">
      <c r="A11" s="87" t="s">
        <v>40</v>
      </c>
      <c r="B11" s="85">
        <v>10</v>
      </c>
      <c r="C11" s="85">
        <v>10</v>
      </c>
      <c r="D11" s="85">
        <v>10</v>
      </c>
      <c r="E11" s="86"/>
      <c r="F11" s="85"/>
      <c r="G11" s="91"/>
    </row>
    <row r="12" ht="15.75" spans="1:7">
      <c r="A12" s="87" t="s">
        <v>41</v>
      </c>
      <c r="B12" s="85">
        <v>37</v>
      </c>
      <c r="C12" s="85">
        <v>37</v>
      </c>
      <c r="D12" s="85">
        <v>37</v>
      </c>
      <c r="E12" s="86"/>
      <c r="F12" s="85"/>
      <c r="G12" s="92"/>
    </row>
    <row r="13" ht="15.75" spans="1:7">
      <c r="A13" s="93" t="s">
        <v>42</v>
      </c>
      <c r="B13" s="85"/>
      <c r="C13" s="85"/>
      <c r="D13" s="85"/>
      <c r="E13" s="93"/>
      <c r="F13" s="93"/>
      <c r="G13" s="93"/>
    </row>
    <row r="14" ht="15.75" spans="1:7">
      <c r="A14" s="93" t="s">
        <v>43</v>
      </c>
      <c r="B14" s="85"/>
      <c r="C14" s="85"/>
      <c r="D14" s="85"/>
      <c r="E14" s="93"/>
      <c r="F14" s="93"/>
      <c r="G14" s="93"/>
    </row>
    <row r="15" ht="15.75" spans="1:7">
      <c r="A15" s="93" t="s">
        <v>44</v>
      </c>
      <c r="B15" s="85"/>
      <c r="C15" s="85"/>
      <c r="D15" s="85"/>
      <c r="E15" s="93"/>
      <c r="F15" s="93"/>
      <c r="G15" s="93"/>
    </row>
    <row r="16" ht="15.75" spans="1:7">
      <c r="A16" s="93" t="s">
        <v>45</v>
      </c>
      <c r="B16" s="85"/>
      <c r="C16" s="85"/>
      <c r="D16" s="85"/>
      <c r="E16" s="93"/>
      <c r="F16" s="93"/>
      <c r="G16" s="93"/>
    </row>
    <row r="17" ht="15.75" spans="1:7">
      <c r="A17" s="93" t="s">
        <v>46</v>
      </c>
      <c r="B17" s="85"/>
      <c r="C17" s="85"/>
      <c r="D17" s="85"/>
      <c r="E17" s="93"/>
      <c r="F17" s="93"/>
      <c r="G17" s="93"/>
    </row>
    <row r="19" ht="25.5" spans="1:7">
      <c r="A19" s="77" t="s">
        <v>199</v>
      </c>
      <c r="B19" s="77"/>
      <c r="C19" s="77"/>
      <c r="D19" s="77"/>
      <c r="E19" s="77"/>
      <c r="F19" s="77"/>
      <c r="G19" s="77"/>
    </row>
    <row r="20" ht="28.5" spans="1:7">
      <c r="A20" s="79" t="s">
        <v>182</v>
      </c>
      <c r="B20" s="79" t="s">
        <v>183</v>
      </c>
      <c r="C20" s="79" t="s">
        <v>184</v>
      </c>
      <c r="D20" s="79" t="s">
        <v>185</v>
      </c>
      <c r="E20" s="79" t="s">
        <v>186</v>
      </c>
      <c r="F20" s="79" t="s">
        <v>170</v>
      </c>
      <c r="G20" s="79" t="s">
        <v>187</v>
      </c>
    </row>
    <row r="21" ht="15.75" spans="1:7">
      <c r="A21" s="80" t="s">
        <v>194</v>
      </c>
      <c r="B21" s="79"/>
      <c r="C21" s="79"/>
      <c r="D21" s="79"/>
      <c r="E21" s="81"/>
      <c r="F21" s="82"/>
      <c r="G21" s="79"/>
    </row>
    <row r="22" ht="15.75" spans="1:7">
      <c r="A22" s="84" t="s">
        <v>195</v>
      </c>
      <c r="B22" s="85"/>
      <c r="C22" s="85"/>
      <c r="D22" s="86"/>
      <c r="E22" s="86"/>
      <c r="F22" s="85"/>
      <c r="G22" s="85"/>
    </row>
    <row r="23" ht="15.75" spans="1:7">
      <c r="A23" s="87" t="s">
        <v>34</v>
      </c>
      <c r="B23" s="85"/>
      <c r="C23" s="85"/>
      <c r="D23" s="86"/>
      <c r="E23" s="86"/>
      <c r="F23" s="86"/>
      <c r="G23" s="85"/>
    </row>
    <row r="24" ht="15.75" spans="1:7">
      <c r="A24" s="88" t="s">
        <v>196</v>
      </c>
      <c r="B24" s="85">
        <v>56</v>
      </c>
      <c r="C24" s="85">
        <v>59</v>
      </c>
      <c r="D24" s="85">
        <f>(B24*8+C24*4)/12</f>
        <v>57</v>
      </c>
      <c r="E24" s="86">
        <f>1032/19</f>
        <v>54.3157894736842</v>
      </c>
      <c r="F24" s="85">
        <v>54</v>
      </c>
      <c r="G24" s="85">
        <v>3</v>
      </c>
    </row>
    <row r="25" ht="15.75" spans="1:7">
      <c r="A25" s="88" t="s">
        <v>197</v>
      </c>
      <c r="B25" s="85"/>
      <c r="C25" s="85"/>
      <c r="D25" s="85"/>
      <c r="E25" s="86"/>
      <c r="F25" s="85"/>
      <c r="G25" s="85"/>
    </row>
    <row r="26" ht="15.75" spans="1:7">
      <c r="A26" s="88" t="s">
        <v>198</v>
      </c>
      <c r="B26" s="85"/>
      <c r="C26" s="85"/>
      <c r="D26" s="85"/>
      <c r="E26" s="86"/>
      <c r="F26" s="85"/>
      <c r="G26" s="85"/>
    </row>
    <row r="27" ht="15.75" spans="1:7">
      <c r="A27" s="89" t="s">
        <v>38</v>
      </c>
      <c r="B27" s="85"/>
      <c r="C27" s="85"/>
      <c r="D27" s="85"/>
      <c r="E27" s="86"/>
      <c r="F27" s="85"/>
      <c r="G27" s="90"/>
    </row>
    <row r="28" ht="15.75" spans="1:7">
      <c r="A28" s="87" t="s">
        <v>39</v>
      </c>
      <c r="B28" s="85"/>
      <c r="C28" s="85"/>
      <c r="D28" s="85"/>
      <c r="E28" s="86">
        <v>9</v>
      </c>
      <c r="F28" s="85">
        <v>9</v>
      </c>
      <c r="G28" s="90">
        <v>38</v>
      </c>
    </row>
    <row r="29" ht="15.75" spans="1:7">
      <c r="A29" s="87" t="s">
        <v>40</v>
      </c>
      <c r="B29" s="85">
        <v>10</v>
      </c>
      <c r="C29" s="85">
        <v>10</v>
      </c>
      <c r="D29" s="85">
        <v>10</v>
      </c>
      <c r="E29" s="86"/>
      <c r="F29" s="85"/>
      <c r="G29" s="91"/>
    </row>
    <row r="30" ht="15.75" spans="1:7">
      <c r="A30" s="87" t="s">
        <v>41</v>
      </c>
      <c r="B30" s="85">
        <v>37</v>
      </c>
      <c r="C30" s="85">
        <v>37</v>
      </c>
      <c r="D30" s="85">
        <v>37</v>
      </c>
      <c r="E30" s="86"/>
      <c r="F30" s="85"/>
      <c r="G30" s="92"/>
    </row>
    <row r="31" ht="15.75" spans="1:7">
      <c r="A31" s="93" t="s">
        <v>42</v>
      </c>
      <c r="B31" s="85"/>
      <c r="C31" s="85"/>
      <c r="D31" s="85"/>
      <c r="E31" s="93"/>
      <c r="F31" s="93"/>
      <c r="G31" s="93"/>
    </row>
    <row r="32" ht="15.75" spans="1:7">
      <c r="A32" s="93" t="s">
        <v>43</v>
      </c>
      <c r="B32" s="85"/>
      <c r="C32" s="85"/>
      <c r="D32" s="85"/>
      <c r="E32" s="93"/>
      <c r="F32" s="93"/>
      <c r="G32" s="93"/>
    </row>
    <row r="33" ht="15.75" spans="1:7">
      <c r="A33" s="93" t="s">
        <v>44</v>
      </c>
      <c r="B33" s="85"/>
      <c r="C33" s="85"/>
      <c r="D33" s="85"/>
      <c r="E33" s="93"/>
      <c r="F33" s="93"/>
      <c r="G33" s="93"/>
    </row>
    <row r="34" ht="15.75" spans="1:7">
      <c r="A34" s="93" t="s">
        <v>45</v>
      </c>
      <c r="B34" s="85"/>
      <c r="C34" s="85"/>
      <c r="D34" s="85"/>
      <c r="E34" s="93"/>
      <c r="F34" s="93"/>
      <c r="G34" s="93"/>
    </row>
    <row r="35" ht="15.75" spans="1:7">
      <c r="A35" s="93" t="s">
        <v>46</v>
      </c>
      <c r="B35" s="85"/>
      <c r="C35" s="85"/>
      <c r="D35" s="85"/>
      <c r="E35" s="93"/>
      <c r="F35" s="93"/>
      <c r="G35" s="93"/>
    </row>
    <row r="38" ht="25.5" spans="1:7">
      <c r="A38" s="77" t="s">
        <v>199</v>
      </c>
      <c r="B38" s="77"/>
      <c r="C38" s="77"/>
      <c r="D38" s="77"/>
      <c r="E38" s="77"/>
      <c r="F38" s="77"/>
      <c r="G38" s="77"/>
    </row>
    <row r="39" ht="28.5" spans="1:7">
      <c r="A39" s="79" t="s">
        <v>182</v>
      </c>
      <c r="B39" s="79" t="s">
        <v>183</v>
      </c>
      <c r="C39" s="79" t="s">
        <v>184</v>
      </c>
      <c r="D39" s="79" t="s">
        <v>185</v>
      </c>
      <c r="E39" s="79" t="s">
        <v>186</v>
      </c>
      <c r="F39" s="79" t="s">
        <v>170</v>
      </c>
      <c r="G39" s="79" t="s">
        <v>187</v>
      </c>
    </row>
    <row r="40" ht="15.75" spans="1:7">
      <c r="A40" s="80" t="s">
        <v>194</v>
      </c>
      <c r="B40" s="79"/>
      <c r="C40" s="79"/>
      <c r="D40" s="79"/>
      <c r="E40" s="81"/>
      <c r="F40" s="82"/>
      <c r="G40" s="79"/>
    </row>
    <row r="41" ht="15.75" spans="1:7">
      <c r="A41" s="84" t="s">
        <v>195</v>
      </c>
      <c r="B41" s="85"/>
      <c r="C41" s="85"/>
      <c r="D41" s="86"/>
      <c r="E41" s="86"/>
      <c r="F41" s="85"/>
      <c r="G41" s="85"/>
    </row>
    <row r="42" ht="15.75" spans="1:7">
      <c r="A42" s="87" t="s">
        <v>34</v>
      </c>
      <c r="B42" s="85"/>
      <c r="C42" s="85"/>
      <c r="D42" s="86"/>
      <c r="E42" s="86"/>
      <c r="F42" s="86"/>
      <c r="G42" s="85"/>
    </row>
    <row r="43" ht="15.75" spans="1:7">
      <c r="A43" s="88" t="s">
        <v>196</v>
      </c>
      <c r="B43" s="85">
        <v>59</v>
      </c>
      <c r="C43" s="85">
        <v>57</v>
      </c>
      <c r="D43" s="86">
        <f>(B43*8+C43*4)/12</f>
        <v>58.3333333333333</v>
      </c>
      <c r="E43" s="86">
        <f>1067/19</f>
        <v>56.1578947368421</v>
      </c>
      <c r="F43" s="85">
        <v>56</v>
      </c>
      <c r="G43" s="85">
        <v>2</v>
      </c>
    </row>
    <row r="44" ht="15.75" spans="1:7">
      <c r="A44" s="88" t="s">
        <v>197</v>
      </c>
      <c r="B44" s="85"/>
      <c r="C44" s="85"/>
      <c r="D44" s="85"/>
      <c r="E44" s="86"/>
      <c r="F44" s="85"/>
      <c r="G44" s="85"/>
    </row>
    <row r="45" ht="15.75" spans="1:7">
      <c r="A45" s="88" t="s">
        <v>198</v>
      </c>
      <c r="B45" s="85"/>
      <c r="C45" s="85"/>
      <c r="D45" s="85"/>
      <c r="E45" s="86"/>
      <c r="F45" s="85"/>
      <c r="G45" s="85"/>
    </row>
    <row r="46" ht="15.75" spans="1:7">
      <c r="A46" s="89" t="s">
        <v>38</v>
      </c>
      <c r="B46" s="85"/>
      <c r="C46" s="85"/>
      <c r="D46" s="85"/>
      <c r="E46" s="86"/>
      <c r="F46" s="85"/>
      <c r="G46" s="90"/>
    </row>
    <row r="47" ht="15.75" spans="1:7">
      <c r="A47" s="87" t="s">
        <v>39</v>
      </c>
      <c r="B47" s="85"/>
      <c r="C47" s="85"/>
      <c r="D47" s="85"/>
      <c r="E47" s="86">
        <v>9</v>
      </c>
      <c r="F47" s="85">
        <v>9</v>
      </c>
      <c r="G47" s="90">
        <v>38</v>
      </c>
    </row>
    <row r="48" ht="15.75" spans="1:7">
      <c r="A48" s="87" t="s">
        <v>40</v>
      </c>
      <c r="B48" s="85">
        <v>10</v>
      </c>
      <c r="C48" s="85">
        <v>10</v>
      </c>
      <c r="D48" s="85">
        <v>10</v>
      </c>
      <c r="E48" s="86"/>
      <c r="F48" s="85"/>
      <c r="G48" s="91"/>
    </row>
    <row r="49" ht="15.75" spans="1:7">
      <c r="A49" s="87" t="s">
        <v>41</v>
      </c>
      <c r="B49" s="85">
        <v>37</v>
      </c>
      <c r="C49" s="85">
        <v>37</v>
      </c>
      <c r="D49" s="85">
        <v>37</v>
      </c>
      <c r="E49" s="86"/>
      <c r="F49" s="85"/>
      <c r="G49" s="92"/>
    </row>
    <row r="50" ht="15.75" spans="1:7">
      <c r="A50" s="93" t="s">
        <v>42</v>
      </c>
      <c r="B50" s="85"/>
      <c r="C50" s="85"/>
      <c r="D50" s="85"/>
      <c r="E50" s="93"/>
      <c r="F50" s="93"/>
      <c r="G50" s="93"/>
    </row>
    <row r="51" ht="15.75" spans="1:7">
      <c r="A51" s="93" t="s">
        <v>43</v>
      </c>
      <c r="B51" s="85"/>
      <c r="C51" s="85"/>
      <c r="D51" s="85"/>
      <c r="E51" s="93"/>
      <c r="F51" s="93"/>
      <c r="G51" s="93"/>
    </row>
    <row r="52" ht="15.75" spans="1:7">
      <c r="A52" s="93" t="s">
        <v>44</v>
      </c>
      <c r="B52" s="85"/>
      <c r="C52" s="85"/>
      <c r="D52" s="85"/>
      <c r="E52" s="93"/>
      <c r="F52" s="93"/>
      <c r="G52" s="93"/>
    </row>
    <row r="53" ht="15.75" spans="1:7">
      <c r="A53" s="93" t="s">
        <v>45</v>
      </c>
      <c r="B53" s="85"/>
      <c r="C53" s="85"/>
      <c r="D53" s="85"/>
      <c r="E53" s="93"/>
      <c r="F53" s="93"/>
      <c r="G53" s="93"/>
    </row>
    <row r="54" ht="15.75" spans="1:7">
      <c r="A54" s="93" t="s">
        <v>46</v>
      </c>
      <c r="B54" s="85"/>
      <c r="C54" s="85"/>
      <c r="D54" s="85"/>
      <c r="E54" s="93"/>
      <c r="F54" s="93"/>
      <c r="G54" s="93"/>
    </row>
  </sheetData>
  <mergeCells count="13">
    <mergeCell ref="A1:G1"/>
    <mergeCell ref="I1:N1"/>
    <mergeCell ref="A19:G19"/>
    <mergeCell ref="A38:G38"/>
    <mergeCell ref="E10:E12"/>
    <mergeCell ref="E28:E30"/>
    <mergeCell ref="E47:E49"/>
    <mergeCell ref="F10:F12"/>
    <mergeCell ref="F28:F30"/>
    <mergeCell ref="F47:F49"/>
    <mergeCell ref="G10:G12"/>
    <mergeCell ref="G28:G30"/>
    <mergeCell ref="G47:G49"/>
  </mergeCells>
  <pageMargins left="1.10208333333333" right="0.7" top="0.75" bottom="0.75"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5"/>
  <sheetViews>
    <sheetView topLeftCell="A10" workbookViewId="0">
      <selection activeCell="J33" sqref="J33"/>
    </sheetView>
  </sheetViews>
  <sheetFormatPr defaultColWidth="9" defaultRowHeight="13.5" outlineLevelCol="6"/>
  <cols>
    <col min="1" max="1" width="16.75" style="29" customWidth="1"/>
    <col min="2" max="2" width="15" style="29" customWidth="1"/>
    <col min="3" max="3" width="14.875" style="29" customWidth="1"/>
    <col min="4" max="5" width="14" style="29" customWidth="1"/>
    <col min="6" max="6" width="12" style="29" customWidth="1"/>
    <col min="7" max="16384" width="9" style="29"/>
  </cols>
  <sheetData>
    <row r="1" ht="25.5" spans="1:7">
      <c r="A1" s="65" t="s">
        <v>200</v>
      </c>
      <c r="B1" s="65"/>
      <c r="C1" s="65"/>
      <c r="D1" s="65"/>
      <c r="E1" s="65"/>
      <c r="F1" s="65"/>
      <c r="G1" s="66"/>
    </row>
    <row r="2" spans="7:7">
      <c r="G2" s="60" t="s">
        <v>84</v>
      </c>
    </row>
    <row r="3" ht="15.75" spans="1:7">
      <c r="A3" s="67" t="s">
        <v>182</v>
      </c>
      <c r="B3" s="68" t="s">
        <v>201</v>
      </c>
      <c r="C3" s="68" t="s">
        <v>202</v>
      </c>
      <c r="D3" s="68" t="s">
        <v>203</v>
      </c>
      <c r="E3" s="69" t="s">
        <v>88</v>
      </c>
      <c r="F3" s="68" t="s">
        <v>204</v>
      </c>
      <c r="G3" s="61" t="s">
        <v>205</v>
      </c>
    </row>
    <row r="4" ht="15.75" spans="1:7">
      <c r="A4" s="70" t="s">
        <v>206</v>
      </c>
      <c r="B4" s="71">
        <v>4065566</v>
      </c>
      <c r="C4" s="71">
        <v>549020</v>
      </c>
      <c r="D4" s="71">
        <f>B4-E4</f>
        <v>0</v>
      </c>
      <c r="E4" s="71">
        <v>4065566</v>
      </c>
      <c r="F4" s="72"/>
      <c r="G4" s="56"/>
    </row>
    <row r="5" ht="15.75" spans="1:7">
      <c r="A5" s="70" t="s">
        <v>207</v>
      </c>
      <c r="B5" s="71">
        <v>151767</v>
      </c>
      <c r="C5" s="71">
        <f>B4*0.14</f>
        <v>569179.24</v>
      </c>
      <c r="D5" s="71">
        <f t="shared" ref="D5:D12" si="0">B5-E5</f>
        <v>0</v>
      </c>
      <c r="E5" s="71">
        <v>151767</v>
      </c>
      <c r="F5" s="72"/>
      <c r="G5" s="56"/>
    </row>
    <row r="6" ht="15.75" spans="1:7">
      <c r="A6" s="73" t="s">
        <v>208</v>
      </c>
      <c r="B6" s="71">
        <v>334252</v>
      </c>
      <c r="C6" s="71">
        <f>B4*0.2585</f>
        <v>1050948.811</v>
      </c>
      <c r="D6" s="71">
        <f t="shared" si="0"/>
        <v>0</v>
      </c>
      <c r="E6" s="71">
        <v>334252</v>
      </c>
      <c r="F6" s="72"/>
      <c r="G6" s="56"/>
    </row>
    <row r="7" ht="15.75" spans="1:7">
      <c r="A7" s="70" t="s">
        <v>209</v>
      </c>
      <c r="B7" s="71"/>
      <c r="C7" s="71"/>
      <c r="D7" s="71">
        <f t="shared" si="0"/>
        <v>0</v>
      </c>
      <c r="E7" s="71"/>
      <c r="F7" s="72"/>
      <c r="G7" s="56"/>
    </row>
    <row r="8" ht="15.75" spans="1:7">
      <c r="A8" s="73" t="s">
        <v>210</v>
      </c>
      <c r="B8" s="71"/>
      <c r="C8" s="71"/>
      <c r="D8" s="71">
        <f t="shared" si="0"/>
        <v>0</v>
      </c>
      <c r="E8" s="71"/>
      <c r="F8" s="72"/>
      <c r="G8" s="56"/>
    </row>
    <row r="9" ht="15.75" spans="1:7">
      <c r="A9" s="70" t="s">
        <v>211</v>
      </c>
      <c r="B9" s="71">
        <v>305796</v>
      </c>
      <c r="C9" s="71">
        <f>B4*0.12</f>
        <v>487867.92</v>
      </c>
      <c r="D9" s="71">
        <f t="shared" si="0"/>
        <v>0</v>
      </c>
      <c r="E9" s="71">
        <v>305796</v>
      </c>
      <c r="F9" s="71">
        <f>E4*0.05</f>
        <v>203278.3</v>
      </c>
      <c r="G9" s="56"/>
    </row>
    <row r="10" ht="15.75" spans="1:7">
      <c r="A10" s="70" t="s">
        <v>212</v>
      </c>
      <c r="B10" s="71">
        <v>90058</v>
      </c>
      <c r="C10" s="71">
        <f>B4*0.02</f>
        <v>81311.32</v>
      </c>
      <c r="D10" s="71">
        <f t="shared" si="0"/>
        <v>8746.67999999999</v>
      </c>
      <c r="E10" s="71">
        <v>81311.32</v>
      </c>
      <c r="F10" s="72">
        <f>E4*0.02</f>
        <v>81311.32</v>
      </c>
      <c r="G10" s="56"/>
    </row>
    <row r="11" ht="15.75" spans="1:7">
      <c r="A11" s="70" t="s">
        <v>213</v>
      </c>
      <c r="B11" s="71">
        <v>41979</v>
      </c>
      <c r="C11" s="71">
        <f>B4*0.025</f>
        <v>101639.15</v>
      </c>
      <c r="D11" s="71">
        <f t="shared" si="0"/>
        <v>-59660.15</v>
      </c>
      <c r="E11" s="71">
        <v>101639.15</v>
      </c>
      <c r="F11" s="72">
        <f>E4*0.025</f>
        <v>101639.15</v>
      </c>
      <c r="G11" s="56"/>
    </row>
    <row r="12" ht="15.75" spans="1:7">
      <c r="A12" s="74" t="s">
        <v>214</v>
      </c>
      <c r="B12" s="75">
        <f>B4+B5+B6+B9+B10+B11</f>
        <v>4989418</v>
      </c>
      <c r="C12" s="56"/>
      <c r="D12" s="71">
        <f t="shared" si="0"/>
        <v>-50913.4700000007</v>
      </c>
      <c r="E12" s="75">
        <f>E4+E5+E6+E9+E10+E11</f>
        <v>5040331.47</v>
      </c>
      <c r="F12" s="56"/>
      <c r="G12" s="56"/>
    </row>
    <row r="14" ht="15.75" spans="1:7">
      <c r="A14" s="67" t="s">
        <v>182</v>
      </c>
      <c r="B14" s="68" t="s">
        <v>215</v>
      </c>
      <c r="C14" s="68" t="s">
        <v>202</v>
      </c>
      <c r="D14" s="68" t="s">
        <v>216</v>
      </c>
      <c r="E14" s="69" t="s">
        <v>90</v>
      </c>
      <c r="F14" s="68" t="s">
        <v>204</v>
      </c>
      <c r="G14" s="61" t="s">
        <v>205</v>
      </c>
    </row>
    <row r="15" ht="15.75" spans="1:7">
      <c r="A15" s="70" t="s">
        <v>206</v>
      </c>
      <c r="B15" s="71">
        <v>5075158</v>
      </c>
      <c r="C15" s="71">
        <v>6350400</v>
      </c>
      <c r="D15" s="71">
        <f>B15-E15</f>
        <v>0</v>
      </c>
      <c r="E15" s="71">
        <v>5075158</v>
      </c>
      <c r="F15" s="72"/>
      <c r="G15" s="56"/>
    </row>
    <row r="16" ht="15.75" spans="1:7">
      <c r="A16" s="70" t="s">
        <v>207</v>
      </c>
      <c r="B16" s="71">
        <v>170122</v>
      </c>
      <c r="C16" s="71">
        <f>B15*0.14</f>
        <v>710522.12</v>
      </c>
      <c r="D16" s="71">
        <f t="shared" ref="D16:D24" si="1">B16-E16</f>
        <v>0</v>
      </c>
      <c r="E16" s="71">
        <v>170122</v>
      </c>
      <c r="F16" s="72"/>
      <c r="G16" s="56"/>
    </row>
    <row r="17" ht="15.75" spans="1:7">
      <c r="A17" s="73" t="s">
        <v>208</v>
      </c>
      <c r="B17" s="71">
        <v>384967</v>
      </c>
      <c r="C17" s="71">
        <f>B15*0.2585</f>
        <v>1311928.343</v>
      </c>
      <c r="D17" s="71">
        <f t="shared" si="1"/>
        <v>0</v>
      </c>
      <c r="E17" s="71">
        <v>384967</v>
      </c>
      <c r="F17" s="72"/>
      <c r="G17" s="56"/>
    </row>
    <row r="18" ht="15.75" spans="1:7">
      <c r="A18" s="70" t="s">
        <v>209</v>
      </c>
      <c r="B18" s="71"/>
      <c r="C18" s="71"/>
      <c r="D18" s="71">
        <f t="shared" si="1"/>
        <v>0</v>
      </c>
      <c r="E18" s="71"/>
      <c r="F18" s="72"/>
      <c r="G18" s="56"/>
    </row>
    <row r="19" ht="15.75" spans="1:7">
      <c r="A19" s="73" t="s">
        <v>210</v>
      </c>
      <c r="B19" s="71"/>
      <c r="C19" s="71"/>
      <c r="D19" s="71">
        <f t="shared" si="1"/>
        <v>0</v>
      </c>
      <c r="E19" s="71"/>
      <c r="F19" s="72"/>
      <c r="G19" s="56"/>
    </row>
    <row r="20" ht="15.75" spans="1:7">
      <c r="A20" s="70" t="s">
        <v>211</v>
      </c>
      <c r="B20" s="71">
        <v>113160</v>
      </c>
      <c r="C20" s="71">
        <f>B15*0.12</f>
        <v>609018.96</v>
      </c>
      <c r="D20" s="71">
        <f t="shared" si="1"/>
        <v>-140599.9</v>
      </c>
      <c r="E20" s="71">
        <v>253759.9</v>
      </c>
      <c r="F20" s="71">
        <f>E15*0.05</f>
        <v>253757.9</v>
      </c>
      <c r="G20" s="56"/>
    </row>
    <row r="21" ht="15.75" spans="1:7">
      <c r="A21" s="70" t="s">
        <v>212</v>
      </c>
      <c r="B21" s="71">
        <v>103320</v>
      </c>
      <c r="C21" s="71">
        <f>B15*0.02</f>
        <v>101503.16</v>
      </c>
      <c r="D21" s="71">
        <f t="shared" si="1"/>
        <v>1816.84</v>
      </c>
      <c r="E21" s="71">
        <v>101503.16</v>
      </c>
      <c r="F21" s="72">
        <f>E15*0.02</f>
        <v>101503.16</v>
      </c>
      <c r="G21" s="56"/>
    </row>
    <row r="22" ht="15.75" spans="1:7">
      <c r="A22" s="70" t="s">
        <v>213</v>
      </c>
      <c r="B22" s="71">
        <v>60000</v>
      </c>
      <c r="C22" s="71">
        <f>B15*0.025</f>
        <v>126878.95</v>
      </c>
      <c r="D22" s="71">
        <f t="shared" si="1"/>
        <v>-66878.95</v>
      </c>
      <c r="E22" s="71">
        <v>126878.95</v>
      </c>
      <c r="F22" s="72">
        <f>E15*0.025</f>
        <v>126878.95</v>
      </c>
      <c r="G22" s="56"/>
    </row>
    <row r="23" ht="15.75" spans="1:7">
      <c r="A23" s="56" t="s">
        <v>217</v>
      </c>
      <c r="B23" s="56">
        <v>1560</v>
      </c>
      <c r="C23" s="56"/>
      <c r="D23" s="71">
        <f t="shared" si="1"/>
        <v>0</v>
      </c>
      <c r="E23" s="56">
        <v>1560</v>
      </c>
      <c r="F23" s="56"/>
      <c r="G23" s="56"/>
    </row>
    <row r="24" ht="15.75" spans="1:7">
      <c r="A24" s="74" t="s">
        <v>214</v>
      </c>
      <c r="B24" s="75">
        <f>B15+B16+B17+B20+B22+B22+B23</f>
        <v>5864967</v>
      </c>
      <c r="C24" s="56"/>
      <c r="D24" s="71">
        <f t="shared" si="1"/>
        <v>-248982.010000001</v>
      </c>
      <c r="E24" s="75">
        <f>E15+E16+E17++E20+E21+E22+E23</f>
        <v>6113949.01</v>
      </c>
      <c r="F24" s="56"/>
      <c r="G24" s="56"/>
    </row>
    <row r="25" ht="15.75" spans="1:7">
      <c r="A25" s="67" t="s">
        <v>182</v>
      </c>
      <c r="B25" s="68" t="s">
        <v>218</v>
      </c>
      <c r="C25" s="68" t="s">
        <v>202</v>
      </c>
      <c r="D25" s="68" t="s">
        <v>219</v>
      </c>
      <c r="E25" s="69" t="s">
        <v>92</v>
      </c>
      <c r="F25" s="68" t="s">
        <v>204</v>
      </c>
      <c r="G25" s="61" t="s">
        <v>205</v>
      </c>
    </row>
    <row r="26" ht="15.75" spans="1:7">
      <c r="A26" s="70" t="s">
        <v>206</v>
      </c>
      <c r="B26" s="71">
        <v>7466108</v>
      </c>
      <c r="C26" s="71">
        <v>6731400</v>
      </c>
      <c r="D26" s="71">
        <f>B26-E26</f>
        <v>734708</v>
      </c>
      <c r="E26" s="71">
        <v>6731400</v>
      </c>
      <c r="F26" s="72"/>
      <c r="G26" s="56"/>
    </row>
    <row r="27" ht="15.75" spans="1:7">
      <c r="A27" s="70" t="s">
        <v>207</v>
      </c>
      <c r="B27" s="71">
        <v>119930</v>
      </c>
      <c r="C27" s="71">
        <f>B26*0.14</f>
        <v>1045255.12</v>
      </c>
      <c r="D27" s="71">
        <f t="shared" ref="D27:D35" si="2">B27-E27</f>
        <v>119930</v>
      </c>
      <c r="E27" s="71"/>
      <c r="F27" s="72"/>
      <c r="G27" s="56"/>
    </row>
    <row r="28" ht="15.75" spans="1:7">
      <c r="A28" s="73" t="s">
        <v>208</v>
      </c>
      <c r="B28" s="71">
        <v>691567</v>
      </c>
      <c r="C28" s="71">
        <f>B26*0.2585</f>
        <v>1929988.918</v>
      </c>
      <c r="D28" s="71">
        <f t="shared" si="2"/>
        <v>691567</v>
      </c>
      <c r="E28" s="71"/>
      <c r="F28" s="72"/>
      <c r="G28" s="56"/>
    </row>
    <row r="29" ht="15.75" spans="1:7">
      <c r="A29" s="70" t="s">
        <v>209</v>
      </c>
      <c r="B29" s="71"/>
      <c r="C29" s="71"/>
      <c r="D29" s="71">
        <f t="shared" si="2"/>
        <v>0</v>
      </c>
      <c r="E29" s="71"/>
      <c r="F29" s="72"/>
      <c r="G29" s="56"/>
    </row>
    <row r="30" ht="15.75" spans="1:7">
      <c r="A30" s="73" t="s">
        <v>210</v>
      </c>
      <c r="B30" s="71"/>
      <c r="C30" s="71"/>
      <c r="D30" s="71">
        <f t="shared" si="2"/>
        <v>0</v>
      </c>
      <c r="E30" s="71"/>
      <c r="F30" s="72"/>
      <c r="G30" s="56"/>
    </row>
    <row r="31" ht="15.75" spans="1:7">
      <c r="A31" s="70" t="s">
        <v>211</v>
      </c>
      <c r="B31" s="71">
        <v>207968</v>
      </c>
      <c r="C31" s="71">
        <f>E26*0.12</f>
        <v>807768</v>
      </c>
      <c r="D31" s="71">
        <f t="shared" si="2"/>
        <v>207968</v>
      </c>
      <c r="E31" s="71"/>
      <c r="F31" s="71"/>
      <c r="G31" s="56"/>
    </row>
    <row r="32" ht="15.75" spans="1:7">
      <c r="A32" s="70" t="s">
        <v>212</v>
      </c>
      <c r="B32" s="71">
        <v>149293</v>
      </c>
      <c r="C32" s="71">
        <f>E26*0.02</f>
        <v>134628</v>
      </c>
      <c r="D32" s="71">
        <f t="shared" si="2"/>
        <v>45973</v>
      </c>
      <c r="E32" s="71">
        <v>103320</v>
      </c>
      <c r="F32" s="72">
        <f>E26*0.02</f>
        <v>134628</v>
      </c>
      <c r="G32" s="56"/>
    </row>
    <row r="33" ht="15.75" spans="1:7">
      <c r="A33" s="70" t="s">
        <v>213</v>
      </c>
      <c r="B33" s="71">
        <v>13872</v>
      </c>
      <c r="C33" s="71">
        <f>E26*0.025</f>
        <v>168285</v>
      </c>
      <c r="D33" s="71">
        <f t="shared" si="2"/>
        <v>-154413</v>
      </c>
      <c r="E33" s="71">
        <v>168285</v>
      </c>
      <c r="F33" s="72">
        <f>E26*0.025</f>
        <v>168285</v>
      </c>
      <c r="G33" s="56"/>
    </row>
    <row r="34" ht="15.75" spans="1:7">
      <c r="A34" s="56" t="s">
        <v>217</v>
      </c>
      <c r="B34" s="56"/>
      <c r="C34" s="56"/>
      <c r="D34" s="71">
        <f t="shared" si="2"/>
        <v>0</v>
      </c>
      <c r="E34" s="56"/>
      <c r="F34" s="56"/>
      <c r="G34" s="56"/>
    </row>
    <row r="35" ht="15.75" spans="1:7">
      <c r="A35" s="56"/>
      <c r="B35" s="75">
        <f>B26+B27+B28+B31+B32+B33</f>
        <v>8648738</v>
      </c>
      <c r="C35" s="56"/>
      <c r="D35" s="71">
        <f t="shared" si="2"/>
        <v>1645733</v>
      </c>
      <c r="E35" s="75">
        <f>E26+E27+E28++E31+E32+E33</f>
        <v>7003005</v>
      </c>
      <c r="F35" s="56"/>
      <c r="G35" s="56"/>
    </row>
  </sheetData>
  <mergeCells count="1">
    <mergeCell ref="A1:F1"/>
  </mergeCells>
  <pageMargins left="0.0393700787401575" right="0.078740157480315" top="0.748031496062992" bottom="0.748031496062992" header="0.31496062992126" footer="0.31496062992126"/>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5"/>
  <sheetViews>
    <sheetView workbookViewId="0">
      <selection activeCell="K23" sqref="K23"/>
    </sheetView>
  </sheetViews>
  <sheetFormatPr defaultColWidth="9" defaultRowHeight="13.5"/>
  <cols>
    <col min="1" max="1" width="25.875" style="29" customWidth="1"/>
    <col min="2" max="2" width="15.875" style="30" customWidth="1"/>
    <col min="3" max="3" width="11.625" style="30" customWidth="1"/>
    <col min="4" max="4" width="11.75" style="30" customWidth="1"/>
    <col min="5" max="5" width="12.25" style="31" customWidth="1"/>
    <col min="6" max="6" width="21.875" style="29" customWidth="1"/>
    <col min="7" max="7" width="18.5" style="29" customWidth="1"/>
    <col min="8" max="8" width="11.25" style="29" customWidth="1"/>
    <col min="9" max="9" width="11.625" style="29" customWidth="1"/>
    <col min="10" max="10" width="13.125" style="29" customWidth="1"/>
    <col min="11" max="11" width="12.75" style="29" customWidth="1"/>
    <col min="12" max="16384" width="9" style="29"/>
  </cols>
  <sheetData>
    <row r="1" ht="25.5" customHeight="1" spans="1:11">
      <c r="A1" s="32" t="s">
        <v>220</v>
      </c>
      <c r="B1" s="32"/>
      <c r="C1" s="32"/>
      <c r="D1" s="32"/>
      <c r="E1" s="33"/>
      <c r="F1" s="32" t="s">
        <v>221</v>
      </c>
      <c r="G1" s="32"/>
      <c r="H1" s="32"/>
      <c r="I1" s="32"/>
      <c r="J1" s="33"/>
      <c r="K1" s="60" t="s">
        <v>84</v>
      </c>
    </row>
    <row r="2" ht="15.75" spans="1:11">
      <c r="A2" s="34" t="s">
        <v>222</v>
      </c>
      <c r="B2" s="35" t="s">
        <v>223</v>
      </c>
      <c r="C2" s="35" t="s">
        <v>224</v>
      </c>
      <c r="D2" s="35" t="s">
        <v>225</v>
      </c>
      <c r="E2" s="36" t="s">
        <v>226</v>
      </c>
      <c r="F2" s="34" t="s">
        <v>222</v>
      </c>
      <c r="G2" s="35" t="s">
        <v>223</v>
      </c>
      <c r="H2" s="35" t="s">
        <v>224</v>
      </c>
      <c r="I2" s="35" t="s">
        <v>225</v>
      </c>
      <c r="J2" s="36" t="s">
        <v>226</v>
      </c>
      <c r="K2" s="61" t="s">
        <v>227</v>
      </c>
    </row>
    <row r="3" ht="21.75" customHeight="1" spans="1:11">
      <c r="A3" s="37" t="s">
        <v>228</v>
      </c>
      <c r="B3" s="38">
        <f>B4+B10+B23+B30</f>
        <v>30708896</v>
      </c>
      <c r="C3" s="38"/>
      <c r="D3" s="38">
        <f>D4+D10+D23+D30</f>
        <v>0</v>
      </c>
      <c r="E3" s="39">
        <f>E4+E10+E23+E30</f>
        <v>1845618.0575</v>
      </c>
      <c r="F3" s="40" t="s">
        <v>57</v>
      </c>
      <c r="G3" s="41"/>
      <c r="H3" s="41"/>
      <c r="I3" s="41"/>
      <c r="J3" s="62"/>
      <c r="K3" s="56"/>
    </row>
    <row r="4" ht="21.75" customHeight="1" spans="1:11">
      <c r="A4" s="42" t="s">
        <v>229</v>
      </c>
      <c r="B4" s="38">
        <f>SUM(B5:B9)</f>
        <v>27993489</v>
      </c>
      <c r="C4" s="38"/>
      <c r="D4" s="38"/>
      <c r="E4" s="39">
        <f>SUM(E5:E9)</f>
        <v>1329690.7275</v>
      </c>
      <c r="F4" s="42" t="s">
        <v>229</v>
      </c>
      <c r="G4" s="38">
        <v>24167711.63</v>
      </c>
      <c r="H4" s="38">
        <v>30</v>
      </c>
      <c r="I4" s="44">
        <v>0.05</v>
      </c>
      <c r="J4" s="39">
        <f>G4*0.95/H4</f>
        <v>765310.868283333</v>
      </c>
      <c r="K4" s="56"/>
    </row>
    <row r="5" ht="21.75" customHeight="1" spans="1:11">
      <c r="A5" s="43" t="s">
        <v>230</v>
      </c>
      <c r="B5" s="38">
        <v>18485158</v>
      </c>
      <c r="C5" s="30">
        <v>20</v>
      </c>
      <c r="D5" s="44">
        <v>0.05</v>
      </c>
      <c r="E5" s="39">
        <f>B5*(1-D5)/C5</f>
        <v>878045.005</v>
      </c>
      <c r="F5" s="45" t="s">
        <v>231</v>
      </c>
      <c r="G5" s="38">
        <v>1167030.9</v>
      </c>
      <c r="H5" s="30">
        <v>6</v>
      </c>
      <c r="I5" s="44">
        <v>0.05</v>
      </c>
      <c r="J5" s="39">
        <f>G5*0.95/H5</f>
        <v>184779.8925</v>
      </c>
      <c r="K5" s="56"/>
    </row>
    <row r="6" ht="21.75" customHeight="1" spans="1:11">
      <c r="A6" s="43" t="s">
        <v>232</v>
      </c>
      <c r="B6" s="38"/>
      <c r="C6" s="38"/>
      <c r="D6" s="38"/>
      <c r="E6" s="39"/>
      <c r="F6" s="45" t="s">
        <v>233</v>
      </c>
      <c r="G6" s="38">
        <v>2562742</v>
      </c>
      <c r="H6" s="38">
        <v>5</v>
      </c>
      <c r="I6" s="44">
        <v>0.05</v>
      </c>
      <c r="J6" s="39">
        <f t="shared" ref="J6" si="0">G6*0.95/H6</f>
        <v>486920.98</v>
      </c>
      <c r="K6" s="56"/>
    </row>
    <row r="7" ht="21.75" customHeight="1" spans="1:11">
      <c r="A7" s="43" t="s">
        <v>234</v>
      </c>
      <c r="B7" s="38">
        <v>7561931</v>
      </c>
      <c r="C7" s="38">
        <v>20</v>
      </c>
      <c r="D7" s="44">
        <v>0.05</v>
      </c>
      <c r="E7" s="39">
        <f>B7*(1-D7)/C7</f>
        <v>359191.7225</v>
      </c>
      <c r="F7" s="46" t="s">
        <v>214</v>
      </c>
      <c r="G7" s="38">
        <f>G4+G5+G6</f>
        <v>27897484.53</v>
      </c>
      <c r="H7" s="38"/>
      <c r="I7" s="44"/>
      <c r="J7" s="38">
        <f>J4+J5+J6</f>
        <v>1437011.74078333</v>
      </c>
      <c r="K7" s="56"/>
    </row>
    <row r="8" ht="21.75" customHeight="1" spans="1:11">
      <c r="A8" s="43"/>
      <c r="B8" s="38"/>
      <c r="C8" s="38"/>
      <c r="D8" s="44"/>
      <c r="E8" s="39"/>
      <c r="F8" s="47" t="s">
        <v>235</v>
      </c>
      <c r="G8" s="48" t="s">
        <v>236</v>
      </c>
      <c r="H8" s="38" t="s">
        <v>237</v>
      </c>
      <c r="I8" s="44" t="s">
        <v>238</v>
      </c>
      <c r="J8" s="38"/>
      <c r="K8" s="56"/>
    </row>
    <row r="9" ht="21.75" customHeight="1" spans="1:11">
      <c r="A9" s="43" t="s">
        <v>239</v>
      </c>
      <c r="B9" s="38">
        <v>1946400</v>
      </c>
      <c r="C9" s="38">
        <v>20</v>
      </c>
      <c r="D9" s="44">
        <v>0.05</v>
      </c>
      <c r="E9" s="39">
        <f>B9*(1-D9)/C9</f>
        <v>92454</v>
      </c>
      <c r="F9" s="47"/>
      <c r="G9" s="49">
        <f>J7*0.688</f>
        <v>988664.077658933</v>
      </c>
      <c r="H9" s="50">
        <f>J7*0.05</f>
        <v>71850.5870391667</v>
      </c>
      <c r="I9" s="50">
        <f>J7*0.126</f>
        <v>181063.4793387</v>
      </c>
      <c r="J9" s="39"/>
      <c r="K9" s="56"/>
    </row>
    <row r="10" ht="21.75" customHeight="1" spans="1:11">
      <c r="A10" s="51" t="s">
        <v>240</v>
      </c>
      <c r="B10" s="38">
        <f>SUM(B11:B22)</f>
        <v>1031730</v>
      </c>
      <c r="C10" s="38"/>
      <c r="D10" s="38"/>
      <c r="E10" s="39">
        <f>SUM(E11:E22)</f>
        <v>196028.7</v>
      </c>
      <c r="F10" s="52" t="s">
        <v>241</v>
      </c>
      <c r="G10" s="53"/>
      <c r="H10" s="53"/>
      <c r="I10" s="53"/>
      <c r="J10" s="63"/>
      <c r="K10" s="56"/>
    </row>
    <row r="11" ht="21.75" customHeight="1" spans="1:11">
      <c r="A11" s="43" t="s">
        <v>242</v>
      </c>
      <c r="B11" s="38">
        <v>76600</v>
      </c>
      <c r="C11" s="38">
        <v>5</v>
      </c>
      <c r="D11" s="44">
        <v>0.05</v>
      </c>
      <c r="E11" s="39">
        <f>B11*(1-D11)/C11</f>
        <v>14554</v>
      </c>
      <c r="F11" s="42" t="s">
        <v>229</v>
      </c>
      <c r="G11" s="38">
        <v>24256867.23</v>
      </c>
      <c r="H11" s="38">
        <v>30</v>
      </c>
      <c r="I11" s="44">
        <v>0.05</v>
      </c>
      <c r="J11" s="39">
        <f t="shared" ref="J11:J13" si="1">G11*0.95/H11</f>
        <v>768134.12895</v>
      </c>
      <c r="K11" s="56"/>
    </row>
    <row r="12" ht="21.75" customHeight="1" spans="1:11">
      <c r="A12" s="43" t="s">
        <v>243</v>
      </c>
      <c r="B12" s="38">
        <v>105744</v>
      </c>
      <c r="C12" s="38">
        <v>5</v>
      </c>
      <c r="D12" s="44">
        <v>0.05</v>
      </c>
      <c r="E12" s="39">
        <f>B12*(1-D12)/C12</f>
        <v>20091.36</v>
      </c>
      <c r="F12" s="45" t="s">
        <v>231</v>
      </c>
      <c r="G12" s="38">
        <v>1202667.06</v>
      </c>
      <c r="H12" s="30">
        <v>6</v>
      </c>
      <c r="I12" s="44">
        <v>0.05</v>
      </c>
      <c r="J12" s="39">
        <f t="shared" si="1"/>
        <v>190422.2845</v>
      </c>
      <c r="K12" s="56"/>
    </row>
    <row r="13" ht="21.75" customHeight="1" spans="1:11">
      <c r="A13" s="43" t="s">
        <v>244</v>
      </c>
      <c r="B13" s="38">
        <v>22400</v>
      </c>
      <c r="C13" s="38">
        <v>5</v>
      </c>
      <c r="D13" s="44">
        <v>0.05</v>
      </c>
      <c r="E13" s="39">
        <f>B13*(1-D13)/C13</f>
        <v>4256</v>
      </c>
      <c r="F13" s="45" t="s">
        <v>233</v>
      </c>
      <c r="G13" s="38">
        <v>2562742</v>
      </c>
      <c r="H13" s="38">
        <v>5</v>
      </c>
      <c r="I13" s="44">
        <v>0.05</v>
      </c>
      <c r="J13" s="39">
        <f t="shared" si="1"/>
        <v>486920.98</v>
      </c>
      <c r="K13" s="56"/>
    </row>
    <row r="14" ht="21.75" customHeight="1" spans="1:11">
      <c r="A14" s="43" t="s">
        <v>245</v>
      </c>
      <c r="B14" s="38"/>
      <c r="C14" s="38"/>
      <c r="D14" s="38"/>
      <c r="E14" s="39"/>
      <c r="F14" s="46" t="s">
        <v>214</v>
      </c>
      <c r="G14" s="38">
        <f>G11+G12+G13</f>
        <v>28022276.29</v>
      </c>
      <c r="H14" s="38"/>
      <c r="I14" s="44"/>
      <c r="J14" s="38">
        <f>J11+J12+J13</f>
        <v>1445477.39345</v>
      </c>
      <c r="K14" s="56"/>
    </row>
    <row r="15" ht="21.75" customHeight="1" spans="1:11">
      <c r="A15" s="43"/>
      <c r="B15" s="38"/>
      <c r="C15" s="38"/>
      <c r="D15" s="38"/>
      <c r="E15" s="39"/>
      <c r="F15" s="47" t="s">
        <v>235</v>
      </c>
      <c r="G15" s="48" t="s">
        <v>246</v>
      </c>
      <c r="H15" s="38" t="s">
        <v>247</v>
      </c>
      <c r="I15" s="44" t="s">
        <v>248</v>
      </c>
      <c r="J15" s="38"/>
      <c r="K15" s="56"/>
    </row>
    <row r="16" ht="21.75" customHeight="1" spans="1:11">
      <c r="A16" s="43" t="s">
        <v>249</v>
      </c>
      <c r="B16" s="38"/>
      <c r="C16" s="38"/>
      <c r="D16" s="38"/>
      <c r="E16" s="39"/>
      <c r="F16" s="47"/>
      <c r="G16" s="49">
        <f>J14*0.751</f>
        <v>1085553.52248095</v>
      </c>
      <c r="H16" s="50">
        <f>J14*0.04</f>
        <v>57819.095738</v>
      </c>
      <c r="I16" s="50">
        <f>J14*0.1</f>
        <v>144547.739345</v>
      </c>
      <c r="J16" s="39"/>
      <c r="K16" s="56"/>
    </row>
    <row r="17" ht="21.75" customHeight="1" spans="1:11">
      <c r="A17" s="43" t="s">
        <v>250</v>
      </c>
      <c r="B17" s="38">
        <v>581822</v>
      </c>
      <c r="C17" s="38">
        <v>5</v>
      </c>
      <c r="D17" s="44">
        <v>0.05</v>
      </c>
      <c r="E17" s="39">
        <f>B17*(1-D17)/C17</f>
        <v>110546.18</v>
      </c>
      <c r="F17" s="54" t="s">
        <v>251</v>
      </c>
      <c r="G17" s="55"/>
      <c r="H17" s="55"/>
      <c r="I17" s="55"/>
      <c r="J17" s="64"/>
      <c r="K17" s="56"/>
    </row>
    <row r="18" ht="21.75" customHeight="1" spans="1:11">
      <c r="A18" s="43" t="s">
        <v>252</v>
      </c>
      <c r="B18" s="38"/>
      <c r="C18" s="38"/>
      <c r="D18" s="38"/>
      <c r="E18" s="39"/>
      <c r="F18" s="42" t="s">
        <v>229</v>
      </c>
      <c r="G18" s="38">
        <v>26679258.21</v>
      </c>
      <c r="H18" s="38">
        <v>30</v>
      </c>
      <c r="I18" s="44">
        <v>0.05</v>
      </c>
      <c r="J18" s="39">
        <f t="shared" ref="J18:J20" si="2">G18*0.95/H18</f>
        <v>844843.17665</v>
      </c>
      <c r="K18" s="56"/>
    </row>
    <row r="19" ht="21.75" customHeight="1" spans="1:11">
      <c r="A19" s="43" t="s">
        <v>253</v>
      </c>
      <c r="B19" s="38">
        <v>28641</v>
      </c>
      <c r="C19" s="38">
        <v>5</v>
      </c>
      <c r="D19" s="44">
        <v>0.05</v>
      </c>
      <c r="E19" s="39">
        <f t="shared" ref="E19:E33" si="3">B19*(1-D19)/C19</f>
        <v>5441.79</v>
      </c>
      <c r="F19" s="45" t="s">
        <v>231</v>
      </c>
      <c r="G19" s="38">
        <v>1202667.06</v>
      </c>
      <c r="H19" s="30">
        <v>6</v>
      </c>
      <c r="I19" s="44">
        <v>0.05</v>
      </c>
      <c r="J19" s="39">
        <f t="shared" si="2"/>
        <v>190422.2845</v>
      </c>
      <c r="K19" s="56"/>
    </row>
    <row r="20" ht="21.75" customHeight="1" spans="1:11">
      <c r="A20" s="43" t="s">
        <v>254</v>
      </c>
      <c r="B20" s="38">
        <v>75623</v>
      </c>
      <c r="C20" s="38">
        <v>5</v>
      </c>
      <c r="D20" s="44">
        <v>0.05</v>
      </c>
      <c r="E20" s="39">
        <f t="shared" si="3"/>
        <v>14368.37</v>
      </c>
      <c r="F20" s="45" t="s">
        <v>233</v>
      </c>
      <c r="G20" s="38">
        <v>2764277</v>
      </c>
      <c r="H20" s="38">
        <v>5</v>
      </c>
      <c r="I20" s="44">
        <v>0.05</v>
      </c>
      <c r="J20" s="39">
        <f t="shared" si="2"/>
        <v>525212.63</v>
      </c>
      <c r="K20" s="56"/>
    </row>
    <row r="21" ht="21.75" customHeight="1" spans="1:11">
      <c r="A21" s="43" t="s">
        <v>255</v>
      </c>
      <c r="B21" s="38">
        <v>140900</v>
      </c>
      <c r="C21" s="38">
        <v>5</v>
      </c>
      <c r="D21" s="44">
        <v>0.05</v>
      </c>
      <c r="E21" s="39">
        <f t="shared" si="3"/>
        <v>26771</v>
      </c>
      <c r="F21" s="46" t="s">
        <v>214</v>
      </c>
      <c r="G21" s="38">
        <f>G18+G19+G20</f>
        <v>30646202.27</v>
      </c>
      <c r="H21" s="38"/>
      <c r="I21" s="44"/>
      <c r="J21" s="38">
        <f>J18+J19+J20</f>
        <v>1560478.09115</v>
      </c>
      <c r="K21" s="56"/>
    </row>
    <row r="22" ht="21.75" customHeight="1" spans="1:11">
      <c r="A22" s="43" t="s">
        <v>256</v>
      </c>
      <c r="B22" s="38"/>
      <c r="C22" s="38"/>
      <c r="D22" s="38"/>
      <c r="E22" s="39"/>
      <c r="F22" s="47" t="s">
        <v>235</v>
      </c>
      <c r="G22" s="48" t="s">
        <v>257</v>
      </c>
      <c r="H22" s="38" t="s">
        <v>258</v>
      </c>
      <c r="I22" s="44" t="s">
        <v>259</v>
      </c>
      <c r="J22" s="56"/>
      <c r="K22" s="56"/>
    </row>
    <row r="23" ht="21.75" customHeight="1" spans="1:11">
      <c r="A23" s="51" t="s">
        <v>260</v>
      </c>
      <c r="B23" s="38">
        <f>SUM(B24:B29)</f>
        <v>983486</v>
      </c>
      <c r="C23" s="38"/>
      <c r="D23" s="38"/>
      <c r="E23" s="39">
        <f>SUM(E24:E29)</f>
        <v>186862.34</v>
      </c>
      <c r="F23" s="56"/>
      <c r="G23" s="57">
        <f>J21*0.767</f>
        <v>1196886.69591205</v>
      </c>
      <c r="H23" s="57">
        <f>J21*0.032</f>
        <v>49935.2989168</v>
      </c>
      <c r="I23" s="57">
        <f>J21*0.08</f>
        <v>124838.247292</v>
      </c>
      <c r="J23" s="56"/>
      <c r="K23" s="56"/>
    </row>
    <row r="24" ht="21.75" customHeight="1" spans="1:5">
      <c r="A24" s="43" t="s">
        <v>261</v>
      </c>
      <c r="B24" s="38">
        <v>394800</v>
      </c>
      <c r="C24" s="38">
        <v>5</v>
      </c>
      <c r="D24" s="44">
        <v>0.05</v>
      </c>
      <c r="E24" s="39">
        <f t="shared" si="3"/>
        <v>75012</v>
      </c>
    </row>
    <row r="25" ht="21.75" customHeight="1" spans="1:5">
      <c r="A25" s="43" t="s">
        <v>262</v>
      </c>
      <c r="B25" s="38">
        <v>66980</v>
      </c>
      <c r="C25" s="38">
        <v>5</v>
      </c>
      <c r="D25" s="44">
        <v>0.05</v>
      </c>
      <c r="E25" s="39">
        <f t="shared" si="3"/>
        <v>12726.2</v>
      </c>
    </row>
    <row r="26" ht="21.75" customHeight="1" spans="1:5">
      <c r="A26" s="43" t="s">
        <v>263</v>
      </c>
      <c r="B26" s="38">
        <v>153000</v>
      </c>
      <c r="C26" s="38">
        <v>5</v>
      </c>
      <c r="D26" s="44">
        <v>0.05</v>
      </c>
      <c r="E26" s="39">
        <f t="shared" si="3"/>
        <v>29070</v>
      </c>
    </row>
    <row r="27" ht="21.75" customHeight="1" spans="1:5">
      <c r="A27" s="43" t="s">
        <v>264</v>
      </c>
      <c r="B27" s="38">
        <v>64994</v>
      </c>
      <c r="C27" s="38">
        <v>5</v>
      </c>
      <c r="D27" s="44">
        <v>0.05</v>
      </c>
      <c r="E27" s="39">
        <f t="shared" si="3"/>
        <v>12348.86</v>
      </c>
    </row>
    <row r="28" ht="21.75" customHeight="1" spans="1:5">
      <c r="A28" s="43" t="s">
        <v>265</v>
      </c>
      <c r="B28" s="38">
        <v>107115</v>
      </c>
      <c r="C28" s="38">
        <v>5</v>
      </c>
      <c r="D28" s="44">
        <v>0.05</v>
      </c>
      <c r="E28" s="39">
        <f t="shared" si="3"/>
        <v>20351.85</v>
      </c>
    </row>
    <row r="29" ht="21.75" customHeight="1" spans="1:5">
      <c r="A29" s="43" t="s">
        <v>266</v>
      </c>
      <c r="B29" s="38">
        <v>196597</v>
      </c>
      <c r="C29" s="38">
        <v>5</v>
      </c>
      <c r="D29" s="44">
        <v>0.05</v>
      </c>
      <c r="E29" s="39">
        <f t="shared" si="3"/>
        <v>37353.43</v>
      </c>
    </row>
    <row r="30" ht="21.75" customHeight="1" spans="1:5">
      <c r="A30" s="51" t="s">
        <v>267</v>
      </c>
      <c r="B30" s="38">
        <f>B31+B33</f>
        <v>700191</v>
      </c>
      <c r="C30" s="38"/>
      <c r="D30" s="38"/>
      <c r="E30" s="39">
        <f>E31+E33</f>
        <v>133036.29</v>
      </c>
    </row>
    <row r="31" ht="21.75" customHeight="1" spans="1:5">
      <c r="A31" s="43" t="s">
        <v>268</v>
      </c>
      <c r="B31" s="38">
        <v>548611</v>
      </c>
      <c r="C31" s="38">
        <v>5</v>
      </c>
      <c r="D31" s="44">
        <v>0.05</v>
      </c>
      <c r="E31" s="39">
        <f t="shared" si="3"/>
        <v>104236.09</v>
      </c>
    </row>
    <row r="32" ht="21.75" customHeight="1" spans="1:5">
      <c r="A32" s="43" t="s">
        <v>269</v>
      </c>
      <c r="B32" s="38">
        <v>520015</v>
      </c>
      <c r="C32" s="38">
        <v>5</v>
      </c>
      <c r="D32" s="44">
        <v>0.05</v>
      </c>
      <c r="E32" s="39">
        <f t="shared" si="3"/>
        <v>98802.85</v>
      </c>
    </row>
    <row r="33" ht="21.75" customHeight="1" spans="1:5">
      <c r="A33" s="43" t="s">
        <v>270</v>
      </c>
      <c r="B33" s="38">
        <v>151580</v>
      </c>
      <c r="C33" s="38">
        <v>5</v>
      </c>
      <c r="D33" s="44">
        <v>0.05</v>
      </c>
      <c r="E33" s="39">
        <f t="shared" si="3"/>
        <v>28800.2</v>
      </c>
    </row>
    <row r="34" spans="1:5">
      <c r="A34" s="58" t="s">
        <v>271</v>
      </c>
      <c r="B34" s="58"/>
      <c r="C34" s="58"/>
      <c r="D34" s="58"/>
      <c r="E34" s="59"/>
    </row>
    <row r="35" spans="1:5">
      <c r="A35" s="58"/>
      <c r="B35" s="58"/>
      <c r="C35" s="58"/>
      <c r="D35" s="58"/>
      <c r="E35" s="59"/>
    </row>
  </sheetData>
  <mergeCells count="6">
    <mergeCell ref="A1:E1"/>
    <mergeCell ref="F1:J1"/>
    <mergeCell ref="F3:J3"/>
    <mergeCell ref="F10:J10"/>
    <mergeCell ref="F17:J17"/>
    <mergeCell ref="A34:E35"/>
  </mergeCells>
  <pageMargins left="0.904861111111111"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11</vt:i4>
      </vt:variant>
    </vt:vector>
  </HeadingPairs>
  <TitlesOfParts>
    <vt:vector size="11" baseType="lpstr">
      <vt:lpstr>封面</vt:lpstr>
      <vt:lpstr>基本情况表</vt:lpstr>
      <vt:lpstr>收入情况表</vt:lpstr>
      <vt:lpstr>教育成本归集表</vt:lpstr>
      <vt:lpstr>教育培养成本核定表</vt:lpstr>
      <vt:lpstr>学生人数核定表</vt:lpstr>
      <vt:lpstr>教职工人数核定表</vt:lpstr>
      <vt:lpstr>薪酬核定表</vt:lpstr>
      <vt:lpstr>固定资产折旧计算表</vt:lpstr>
      <vt:lpstr>承诺书</vt:lpstr>
      <vt:lpstr>分摊系数表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2022-07-04T01:13:00Z</dcterms:created>
  <cp:lastPrinted>2022-08-09T07:46:00Z</cp:lastPrinted>
  <dcterms:modified xsi:type="dcterms:W3CDTF">2024-01-05T06:11:33Z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7A9F40178E854924B2B557239D8C2C74</vt:lpwstr>
  </property>
  <property fmtid="{D5CDD505-2E9C-101B-9397-08002B2CF9AE}" pid="3" name="KSOProductBuildVer">
    <vt:lpwstr>2052-12.1.0.16120</vt:lpwstr>
  </property>
</Properties>
</file>