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812" windowHeight="7860" tabRatio="975" activeTab="8"/>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 name="分摊系数表" sheetId="11" r:id="rId11"/>
  </sheets>
  <calcPr calcId="124519"/>
</workbook>
</file>

<file path=xl/calcChain.xml><?xml version="1.0" encoding="utf-8"?>
<calcChain xmlns="http://schemas.openxmlformats.org/spreadsheetml/2006/main">
  <c r="F4" i="7"/>
  <c r="C4" i="8" s="1"/>
  <c r="B9" i="5"/>
  <c r="B22"/>
  <c r="B23" s="1"/>
  <c r="B24" s="1"/>
  <c r="D14"/>
  <c r="D22" s="1"/>
  <c r="D23" s="1"/>
  <c r="D24" s="1"/>
  <c r="C14"/>
  <c r="C22" s="1"/>
  <c r="C23" s="1"/>
  <c r="C24" s="1"/>
  <c r="B14"/>
  <c r="D55" i="4"/>
  <c r="G55"/>
  <c r="D11" i="5"/>
  <c r="C11"/>
  <c r="B11"/>
  <c r="D9"/>
  <c r="C9"/>
  <c r="I54" i="4"/>
  <c r="I53"/>
  <c r="I52"/>
  <c r="I51"/>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J51"/>
  <c r="J21"/>
  <c r="J13"/>
  <c r="J12" s="1"/>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F13"/>
  <c r="F12"/>
  <c r="F10"/>
  <c r="F9"/>
  <c r="F8"/>
  <c r="F7"/>
  <c r="F6"/>
  <c r="F5"/>
  <c r="G5"/>
  <c r="G51"/>
  <c r="G23"/>
  <c r="G13"/>
  <c r="G42"/>
  <c r="G22"/>
  <c r="G20"/>
  <c r="C54"/>
  <c r="C53"/>
  <c r="C52"/>
  <c r="C51"/>
  <c r="C49"/>
  <c r="C48"/>
  <c r="C47"/>
  <c r="C46"/>
  <c r="C45"/>
  <c r="C44"/>
  <c r="C43"/>
  <c r="C42"/>
  <c r="C41"/>
  <c r="C40"/>
  <c r="C39"/>
  <c r="C38"/>
  <c r="C37"/>
  <c r="C36"/>
  <c r="C35"/>
  <c r="C34"/>
  <c r="C33"/>
  <c r="C32"/>
  <c r="C31"/>
  <c r="C30"/>
  <c r="C29"/>
  <c r="C28"/>
  <c r="C27"/>
  <c r="C26"/>
  <c r="C25"/>
  <c r="C24"/>
  <c r="C23"/>
  <c r="C22"/>
  <c r="C21"/>
  <c r="C20"/>
  <c r="C19"/>
  <c r="C18"/>
  <c r="C17"/>
  <c r="C16"/>
  <c r="C15"/>
  <c r="C14"/>
  <c r="C13"/>
  <c r="C11"/>
  <c r="C10"/>
  <c r="C9"/>
  <c r="C8"/>
  <c r="C7"/>
  <c r="C6"/>
  <c r="C5"/>
  <c r="D34"/>
  <c r="D51"/>
  <c r="D18"/>
  <c r="D17"/>
  <c r="I23" i="9"/>
  <c r="H23"/>
  <c r="G23"/>
  <c r="I16"/>
  <c r="H16"/>
  <c r="G16"/>
  <c r="I9"/>
  <c r="H9"/>
  <c r="G9"/>
  <c r="D36" i="4"/>
  <c r="D13"/>
  <c r="D32"/>
  <c r="D23" i="11"/>
  <c r="C23"/>
  <c r="D22"/>
  <c r="C22"/>
  <c r="D21"/>
  <c r="C21"/>
  <c r="B23"/>
  <c r="B22"/>
  <c r="B21"/>
  <c r="D18"/>
  <c r="C18"/>
  <c r="D17"/>
  <c r="C17"/>
  <c r="D16"/>
  <c r="C16"/>
  <c r="B17"/>
  <c r="B18"/>
  <c r="B16"/>
  <c r="D10"/>
  <c r="C10"/>
  <c r="B10"/>
  <c r="B9"/>
  <c r="D9"/>
  <c r="C9"/>
  <c r="J21" i="9"/>
  <c r="G21"/>
  <c r="J14"/>
  <c r="G14"/>
  <c r="J20"/>
  <c r="J19"/>
  <c r="J18"/>
  <c r="J13"/>
  <c r="J12"/>
  <c r="J11"/>
  <c r="J5"/>
  <c r="J6"/>
  <c r="J4"/>
  <c r="J7" s="1"/>
  <c r="G7"/>
  <c r="D24" i="8"/>
  <c r="D23"/>
  <c r="D22"/>
  <c r="D21"/>
  <c r="D20"/>
  <c r="D19"/>
  <c r="D18"/>
  <c r="D17"/>
  <c r="D16"/>
  <c r="D15"/>
  <c r="D12"/>
  <c r="D11"/>
  <c r="D10"/>
  <c r="D9"/>
  <c r="D8"/>
  <c r="D7"/>
  <c r="D6"/>
  <c r="D5"/>
  <c r="D4"/>
  <c r="D34"/>
  <c r="D33"/>
  <c r="D32"/>
  <c r="D31"/>
  <c r="D30"/>
  <c r="D29"/>
  <c r="D28"/>
  <c r="D27"/>
  <c r="D26"/>
  <c r="E35"/>
  <c r="D35" s="1"/>
  <c r="B35"/>
  <c r="E24"/>
  <c r="C33"/>
  <c r="C32"/>
  <c r="F33"/>
  <c r="F32"/>
  <c r="C31"/>
  <c r="C28"/>
  <c r="C27"/>
  <c r="F22"/>
  <c r="F21"/>
  <c r="F20"/>
  <c r="C22"/>
  <c r="C21"/>
  <c r="C20"/>
  <c r="C17"/>
  <c r="C16"/>
  <c r="F11"/>
  <c r="F10"/>
  <c r="F9"/>
  <c r="C6"/>
  <c r="C5"/>
  <c r="C9"/>
  <c r="C11"/>
  <c r="C10"/>
  <c r="B24"/>
  <c r="E12"/>
  <c r="B12"/>
  <c r="D40" i="7"/>
  <c r="E23"/>
  <c r="E40"/>
  <c r="D23"/>
  <c r="E6"/>
  <c r="D6"/>
  <c r="E17" i="6"/>
  <c r="E6"/>
  <c r="E5"/>
  <c r="E4"/>
  <c r="E33" i="9"/>
  <c r="E32"/>
  <c r="E31"/>
  <c r="B30"/>
  <c r="E29"/>
  <c r="E28"/>
  <c r="E27"/>
  <c r="E26"/>
  <c r="E25"/>
  <c r="E24"/>
  <c r="B23"/>
  <c r="E21"/>
  <c r="E20"/>
  <c r="E19"/>
  <c r="E17"/>
  <c r="E13"/>
  <c r="E12"/>
  <c r="E11"/>
  <c r="B10"/>
  <c r="E9"/>
  <c r="E7"/>
  <c r="E5"/>
  <c r="B4"/>
  <c r="B3" s="1"/>
  <c r="D3"/>
  <c r="H55" i="4"/>
  <c r="B55"/>
  <c r="H51"/>
  <c r="B51"/>
  <c r="J37"/>
  <c r="H37"/>
  <c r="G37"/>
  <c r="E37"/>
  <c r="B37"/>
  <c r="H12"/>
  <c r="E12"/>
  <c r="B12"/>
  <c r="J5"/>
  <c r="J55" s="1"/>
  <c r="I55" s="1"/>
  <c r="H5"/>
  <c r="E5"/>
  <c r="E55" s="1"/>
  <c r="D5"/>
  <c r="B5"/>
  <c r="C12" i="3"/>
  <c r="B12"/>
  <c r="D11"/>
  <c r="C11"/>
  <c r="B11"/>
  <c r="D5"/>
  <c r="C5"/>
  <c r="B5"/>
  <c r="I5" i="4" l="1"/>
  <c r="B25" i="5"/>
  <c r="G12" i="4"/>
  <c r="D12"/>
  <c r="E4" i="9"/>
  <c r="E10"/>
  <c r="E3" s="1"/>
  <c r="E23"/>
  <c r="E30"/>
  <c r="C55" i="4" l="1"/>
  <c r="C12"/>
</calcChain>
</file>

<file path=xl/comments1.xml><?xml version="1.0" encoding="utf-8"?>
<comments xmlns="http://schemas.openxmlformats.org/spreadsheetml/2006/main">
  <authors>
    <author>Administrator</author>
  </authors>
  <commentList>
    <comment ref="E36" authorId="0">
      <text>
        <r>
          <rPr>
            <b/>
            <sz val="9"/>
            <rFont val="宋体"/>
            <family val="3"/>
            <charset val="134"/>
          </rPr>
          <t>Administrator:</t>
        </r>
        <r>
          <rPr>
            <sz val="9"/>
            <rFont val="宋体"/>
            <family val="3"/>
            <charset val="134"/>
          </rPr>
          <t xml:space="preserve">
从2020年下学期开始拨班费</t>
        </r>
      </text>
    </comment>
  </commentList>
</comments>
</file>

<file path=xl/sharedStrings.xml><?xml version="1.0" encoding="utf-8"?>
<sst xmlns="http://schemas.openxmlformats.org/spreadsheetml/2006/main" count="412" uniqueCount="290">
  <si>
    <t>民办中小学教育定价成本监审表</t>
  </si>
  <si>
    <t>（2019-2021年度）</t>
  </si>
  <si>
    <r>
      <rPr>
        <sz val="16"/>
        <rFont val="宋体"/>
        <family val="3"/>
        <charset val="134"/>
      </rPr>
      <t>学校名称</t>
    </r>
    <r>
      <rPr>
        <sz val="16"/>
        <rFont val="Times New Roman"/>
        <family val="1"/>
      </rPr>
      <t xml:space="preserve">  </t>
    </r>
    <r>
      <rPr>
        <sz val="16"/>
        <rFont val="宋体"/>
        <family val="3"/>
        <charset val="134"/>
      </rPr>
      <t>（公章）</t>
    </r>
  </si>
  <si>
    <t>祁阳市伯爵小学</t>
  </si>
  <si>
    <r>
      <rPr>
        <sz val="16"/>
        <rFont val="宋体"/>
        <family val="3"/>
        <charset val="134"/>
      </rPr>
      <t>法人代表</t>
    </r>
    <r>
      <rPr>
        <sz val="16"/>
        <rFont val="Times New Roman"/>
        <family val="1"/>
      </rPr>
      <t xml:space="preserve">  </t>
    </r>
  </si>
  <si>
    <t>蒋崇智</t>
  </si>
  <si>
    <r>
      <rPr>
        <sz val="16"/>
        <rFont val="宋体"/>
        <family val="3"/>
        <charset val="134"/>
      </rPr>
      <t>财务负责人</t>
    </r>
  </si>
  <si>
    <t>陈小容</t>
  </si>
  <si>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</si>
  <si>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t>周智雯</t>
  </si>
  <si>
    <r>
      <rPr>
        <sz val="16"/>
        <rFont val="宋体"/>
        <family val="3"/>
        <charset val="134"/>
      </rPr>
      <t>学校地址</t>
    </r>
  </si>
  <si>
    <t>祁阳市经济开发区荷园路</t>
  </si>
  <si>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</si>
  <si>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</si>
  <si>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</si>
  <si>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</si>
  <si>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</si>
  <si>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</si>
  <si>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color indexed="8"/>
        <rFont val="Times New Roman"/>
        <family val="1"/>
      </rPr>
      <t>2019</t>
    </r>
    <r>
      <rPr>
        <b/>
        <sz val="12"/>
        <color indexed="8"/>
        <rFont val="宋体"/>
        <family val="3"/>
        <charset val="134"/>
      </rPr>
      <t>年</t>
    </r>
  </si>
  <si>
    <r>
      <rPr>
        <b/>
        <sz val="12"/>
        <rFont val="Times New Roman"/>
        <family val="1"/>
      </rPr>
      <t>2020</t>
    </r>
    <r>
      <rPr>
        <b/>
        <sz val="12"/>
        <rFont val="宋体"/>
        <family val="3"/>
        <charset val="134"/>
      </rPr>
      <t>年</t>
    </r>
  </si>
  <si>
    <r>
      <rPr>
        <b/>
        <sz val="12"/>
        <rFont val="Times New Roman"/>
        <family val="1"/>
      </rPr>
      <t>2021</t>
    </r>
    <r>
      <rPr>
        <b/>
        <sz val="12"/>
        <rFont val="宋体"/>
        <family val="3"/>
        <charset val="134"/>
      </rPr>
      <t>年</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</si>
  <si>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</si>
  <si>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</si>
  <si>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</si>
  <si>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</si>
  <si>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</si>
  <si>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rgb="FF000000"/>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</si>
  <si>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</si>
  <si>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rgb="FF000000"/>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</si>
  <si>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</si>
  <si>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</si>
  <si>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</si>
  <si>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</si>
  <si>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</si>
  <si>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</si>
  <si>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</si>
  <si>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</si>
  <si>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</si>
  <si>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</si>
  <si>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</si>
  <si>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</si>
  <si>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</si>
  <si>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</si>
  <si>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</si>
  <si>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</si>
  <si>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</si>
  <si>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</si>
  <si>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</si>
  <si>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</si>
  <si>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</si>
  <si>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</si>
  <si>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rgb="FF000000"/>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</si>
  <si>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</si>
  <si>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</si>
  <si>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</si>
  <si>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2019年</t>
  </si>
  <si>
    <t>2020年</t>
  </si>
  <si>
    <t>2021年</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</si>
  <si>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</si>
  <si>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</si>
  <si>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</si>
  <si>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</si>
  <si>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</si>
  <si>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</si>
  <si>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</si>
  <si>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</si>
  <si>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</si>
  <si>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</si>
  <si>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</si>
  <si>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</si>
  <si>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</si>
  <si>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</si>
  <si>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</si>
  <si>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</si>
  <si>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</si>
  <si>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</si>
  <si>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</si>
  <si>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</si>
  <si>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</si>
  <si>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</si>
  <si>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r>
      <rPr>
        <sz val="16"/>
        <rFont val="黑体"/>
        <family val="3"/>
        <charset val="134"/>
      </rPr>
      <t>表</t>
    </r>
    <r>
      <rPr>
        <sz val="16"/>
        <rFont val="Times New Roman"/>
        <family val="1"/>
      </rPr>
      <t>3</t>
    </r>
  </si>
  <si>
    <t>单位：元</t>
  </si>
  <si>
    <r>
      <rPr>
        <b/>
        <sz val="12"/>
        <rFont val="宋体"/>
        <family val="3"/>
        <charset val="134"/>
      </rPr>
      <t>项</t>
    </r>
    <r>
      <rPr>
        <b/>
        <sz val="12"/>
        <rFont val="Times New Roman"/>
        <family val="1"/>
      </rPr>
      <t xml:space="preserve">  </t>
    </r>
    <r>
      <rPr>
        <b/>
        <sz val="12"/>
        <rFont val="宋体"/>
        <family val="3"/>
        <charset val="134"/>
      </rPr>
      <t>目</t>
    </r>
  </si>
  <si>
    <r>
      <rPr>
        <b/>
        <sz val="12"/>
        <rFont val="Times New Roman"/>
        <family val="1"/>
      </rPr>
      <t>2019</t>
    </r>
    <r>
      <rPr>
        <b/>
        <sz val="12"/>
        <rFont val="宋体"/>
        <family val="3"/>
        <charset val="134"/>
      </rPr>
      <t>年上报数</t>
    </r>
  </si>
  <si>
    <r>
      <rPr>
        <b/>
        <sz val="12"/>
        <rFont val="宋体"/>
        <family val="3"/>
        <charset val="134"/>
      </rPr>
      <t>核增（减）</t>
    </r>
  </si>
  <si>
    <r>
      <rPr>
        <b/>
        <sz val="12"/>
        <rFont val="Times New Roman"/>
        <family val="1"/>
      </rPr>
      <t>2019</t>
    </r>
    <r>
      <rPr>
        <b/>
        <sz val="12"/>
        <rFont val="宋体"/>
        <family val="3"/>
        <charset val="134"/>
      </rPr>
      <t>年核定数</t>
    </r>
  </si>
  <si>
    <r>
      <rPr>
        <b/>
        <sz val="12"/>
        <rFont val="Times New Roman"/>
        <family val="1"/>
      </rPr>
      <t>2020</t>
    </r>
    <r>
      <rPr>
        <b/>
        <sz val="12"/>
        <rFont val="宋体"/>
        <family val="3"/>
        <charset val="134"/>
      </rPr>
      <t>年上报数</t>
    </r>
  </si>
  <si>
    <r>
      <rPr>
        <b/>
        <sz val="12"/>
        <rFont val="Times New Roman"/>
        <family val="1"/>
      </rPr>
      <t>2020</t>
    </r>
    <r>
      <rPr>
        <b/>
        <sz val="12"/>
        <rFont val="宋体"/>
        <family val="3"/>
        <charset val="134"/>
      </rPr>
      <t>年核定数</t>
    </r>
  </si>
  <si>
    <r>
      <rPr>
        <b/>
        <sz val="12"/>
        <rFont val="Times New Roman"/>
        <family val="1"/>
      </rPr>
      <t>2021</t>
    </r>
    <r>
      <rPr>
        <b/>
        <sz val="12"/>
        <rFont val="宋体"/>
        <family val="3"/>
        <charset val="134"/>
      </rPr>
      <t>年上报数</t>
    </r>
  </si>
  <si>
    <r>
      <rPr>
        <b/>
        <sz val="12"/>
        <rFont val="Times New Roman"/>
        <family val="1"/>
      </rPr>
      <t>2021</t>
    </r>
    <r>
      <rPr>
        <b/>
        <sz val="12"/>
        <rFont val="宋体"/>
        <family val="3"/>
        <charset val="134"/>
      </rPr>
      <t>年核定数</t>
    </r>
  </si>
  <si>
    <t>一、工资福利支出</t>
  </si>
  <si>
    <r>
      <rPr>
        <sz val="12"/>
        <rFont val="Times New Roman"/>
        <family val="1"/>
      </rPr>
      <t xml:space="preserve">  1.</t>
    </r>
    <r>
      <rPr>
        <sz val="12"/>
        <rFont val="宋体"/>
        <family val="3"/>
        <charset val="134"/>
      </rPr>
      <t>基本工资</t>
    </r>
  </si>
  <si>
    <r>
      <rPr>
        <sz val="12"/>
        <rFont val="Times New Roman"/>
        <family val="1"/>
      </rPr>
      <t xml:space="preserve">  2.</t>
    </r>
    <r>
      <rPr>
        <sz val="12"/>
        <rFont val="宋体"/>
        <family val="3"/>
        <charset val="134"/>
      </rPr>
      <t>津贴</t>
    </r>
  </si>
  <si>
    <r>
      <rPr>
        <sz val="12"/>
        <rFont val="Times New Roman"/>
        <family val="1"/>
      </rPr>
      <t xml:space="preserve">  3.</t>
    </r>
    <r>
      <rPr>
        <sz val="12"/>
        <rFont val="宋体"/>
        <family val="3"/>
        <charset val="134"/>
      </rPr>
      <t>奖金</t>
    </r>
  </si>
  <si>
    <r>
      <rPr>
        <sz val="12"/>
        <rFont val="Times New Roman"/>
        <family val="1"/>
      </rPr>
      <t xml:space="preserve">  4.</t>
    </r>
    <r>
      <rPr>
        <sz val="12"/>
        <rFont val="宋体"/>
        <family val="3"/>
        <charset val="134"/>
      </rPr>
      <t>社会保险费</t>
    </r>
  </si>
  <si>
    <r>
      <rPr>
        <sz val="12"/>
        <rFont val="Times New Roman"/>
        <family val="1"/>
      </rPr>
      <t xml:space="preserve">  5.</t>
    </r>
    <r>
      <rPr>
        <sz val="12"/>
        <rFont val="宋体"/>
        <family val="3"/>
        <charset val="134"/>
      </rPr>
      <t>住房公积金</t>
    </r>
  </si>
  <si>
    <r>
      <rPr>
        <sz val="12"/>
        <rFont val="Times New Roman"/>
        <family val="1"/>
      </rPr>
      <t xml:space="preserve">  6.</t>
    </r>
    <r>
      <rPr>
        <sz val="12"/>
        <rFont val="宋体"/>
        <family val="3"/>
        <charset val="134"/>
      </rPr>
      <t>其他</t>
    </r>
  </si>
  <si>
    <t>二、商品和服务支出</t>
  </si>
  <si>
    <r>
      <rPr>
        <sz val="12"/>
        <color indexed="8"/>
        <rFont val="Times New Roman"/>
        <family val="1"/>
      </rPr>
      <t xml:space="preserve">    1.</t>
    </r>
    <r>
      <rPr>
        <sz val="12"/>
        <color indexed="8"/>
        <rFont val="宋体"/>
        <family val="3"/>
        <charset val="134"/>
      </rPr>
      <t>办公费</t>
    </r>
  </si>
  <si>
    <r>
      <rPr>
        <sz val="12"/>
        <color indexed="8"/>
        <rFont val="Times New Roman"/>
        <family val="1"/>
      </rPr>
      <t xml:space="preserve">    2.</t>
    </r>
    <r>
      <rPr>
        <sz val="12"/>
        <color indexed="8"/>
        <rFont val="宋体"/>
        <family val="3"/>
        <charset val="134"/>
      </rPr>
      <t>印刷费</t>
    </r>
  </si>
  <si>
    <r>
      <rPr>
        <sz val="12"/>
        <color indexed="8"/>
        <rFont val="Times New Roman"/>
        <family val="1"/>
      </rPr>
      <t xml:space="preserve">    3.</t>
    </r>
    <r>
      <rPr>
        <sz val="12"/>
        <color indexed="8"/>
        <rFont val="宋体"/>
        <family val="3"/>
        <charset val="134"/>
      </rPr>
      <t>咨询费</t>
    </r>
  </si>
  <si>
    <r>
      <rPr>
        <sz val="12"/>
        <color indexed="8"/>
        <rFont val="Times New Roman"/>
        <family val="1"/>
      </rPr>
      <t xml:space="preserve">    4.</t>
    </r>
    <r>
      <rPr>
        <sz val="12"/>
        <color indexed="8"/>
        <rFont val="宋体"/>
        <family val="3"/>
        <charset val="134"/>
      </rPr>
      <t>手续费</t>
    </r>
  </si>
  <si>
    <r>
      <rPr>
        <sz val="12"/>
        <color indexed="8"/>
        <rFont val="Times New Roman"/>
        <family val="1"/>
      </rPr>
      <t xml:space="preserve">    5.</t>
    </r>
    <r>
      <rPr>
        <sz val="12"/>
        <color indexed="8"/>
        <rFont val="宋体"/>
        <family val="3"/>
        <charset val="134"/>
      </rPr>
      <t>水费</t>
    </r>
  </si>
  <si>
    <r>
      <rPr>
        <sz val="12"/>
        <color indexed="8"/>
        <rFont val="Times New Roman"/>
        <family val="1"/>
      </rPr>
      <t xml:space="preserve">    6.</t>
    </r>
    <r>
      <rPr>
        <sz val="12"/>
        <color indexed="8"/>
        <rFont val="宋体"/>
        <family val="3"/>
        <charset val="134"/>
      </rPr>
      <t>电费</t>
    </r>
  </si>
  <si>
    <r>
      <rPr>
        <sz val="12"/>
        <color indexed="8"/>
        <rFont val="Times New Roman"/>
        <family val="1"/>
      </rPr>
      <t xml:space="preserve">    7.</t>
    </r>
    <r>
      <rPr>
        <sz val="12"/>
        <color indexed="8"/>
        <rFont val="宋体"/>
        <family val="3"/>
        <charset val="134"/>
      </rPr>
      <t>邮电费</t>
    </r>
  </si>
  <si>
    <r>
      <rPr>
        <sz val="12"/>
        <color rgb="FF000000"/>
        <rFont val="Times New Roman"/>
        <family val="1"/>
      </rPr>
      <t xml:space="preserve">    8.</t>
    </r>
    <r>
      <rPr>
        <sz val="12"/>
        <color rgb="FF000000"/>
        <rFont val="宋体"/>
        <family val="3"/>
        <charset val="134"/>
      </rPr>
      <t>广告费</t>
    </r>
  </si>
  <si>
    <r>
      <rPr>
        <sz val="12"/>
        <color indexed="8"/>
        <rFont val="Times New Roman"/>
        <family val="1"/>
      </rPr>
      <t xml:space="preserve">    9.</t>
    </r>
    <r>
      <rPr>
        <sz val="12"/>
        <color indexed="8"/>
        <rFont val="宋体"/>
        <family val="3"/>
        <charset val="134"/>
      </rPr>
      <t>差旅费</t>
    </r>
  </si>
  <si>
    <t xml:space="preserve">  10.活动费</t>
  </si>
  <si>
    <r>
      <rPr>
        <sz val="12"/>
        <color indexed="8"/>
        <rFont val="Times New Roman"/>
        <family val="1"/>
      </rPr>
      <t xml:space="preserve">    11.</t>
    </r>
    <r>
      <rPr>
        <sz val="12"/>
        <color indexed="8"/>
        <rFont val="宋体"/>
        <family val="3"/>
        <charset val="134"/>
      </rPr>
      <t>维修（护）费</t>
    </r>
  </si>
  <si>
    <r>
      <rPr>
        <sz val="12"/>
        <color rgb="FF000000"/>
        <rFont val="Times New Roman"/>
        <family val="1"/>
      </rPr>
      <t xml:space="preserve">    12.</t>
    </r>
    <r>
      <rPr>
        <sz val="12"/>
        <color rgb="FF000000"/>
        <rFont val="宋体"/>
        <family val="3"/>
        <charset val="134"/>
      </rPr>
      <t>学生用品</t>
    </r>
  </si>
  <si>
    <r>
      <rPr>
        <sz val="12"/>
        <color indexed="8"/>
        <rFont val="Times New Roman"/>
        <family val="1"/>
      </rPr>
      <t xml:space="preserve">    13.</t>
    </r>
    <r>
      <rPr>
        <sz val="12"/>
        <color indexed="8"/>
        <rFont val="宋体"/>
        <family val="3"/>
        <charset val="134"/>
      </rPr>
      <t>会议费</t>
    </r>
  </si>
  <si>
    <r>
      <rPr>
        <sz val="12"/>
        <color indexed="8"/>
        <rFont val="Times New Roman"/>
        <family val="1"/>
      </rPr>
      <t xml:space="preserve">    14.</t>
    </r>
    <r>
      <rPr>
        <sz val="12"/>
        <color indexed="8"/>
        <rFont val="宋体"/>
        <family val="3"/>
        <charset val="134"/>
      </rPr>
      <t>培训费</t>
    </r>
  </si>
  <si>
    <r>
      <rPr>
        <sz val="12"/>
        <color indexed="8"/>
        <rFont val="Times New Roman"/>
        <family val="1"/>
      </rPr>
      <t xml:space="preserve">    15.</t>
    </r>
    <r>
      <rPr>
        <sz val="12"/>
        <color indexed="8"/>
        <rFont val="宋体"/>
        <family val="3"/>
        <charset val="134"/>
      </rPr>
      <t>公务接待费</t>
    </r>
  </si>
  <si>
    <r>
      <rPr>
        <sz val="12"/>
        <color indexed="8"/>
        <rFont val="Times New Roman"/>
        <family val="1"/>
      </rPr>
      <t xml:space="preserve">    16.</t>
    </r>
    <r>
      <rPr>
        <sz val="12"/>
        <color indexed="8"/>
        <rFont val="宋体"/>
        <family val="3"/>
        <charset val="134"/>
      </rPr>
      <t>专用材料费</t>
    </r>
  </si>
  <si>
    <r>
      <rPr>
        <sz val="12"/>
        <color indexed="8"/>
        <rFont val="Times New Roman"/>
        <family val="1"/>
      </rPr>
      <t xml:space="preserve">    17.</t>
    </r>
    <r>
      <rPr>
        <sz val="12"/>
        <color indexed="8"/>
        <rFont val="宋体"/>
        <family val="3"/>
        <charset val="134"/>
      </rPr>
      <t>劳务费</t>
    </r>
  </si>
  <si>
    <r>
      <rPr>
        <sz val="12"/>
        <color indexed="8"/>
        <rFont val="Times New Roman"/>
        <family val="1"/>
      </rPr>
      <t xml:space="preserve">    18.</t>
    </r>
    <r>
      <rPr>
        <sz val="12"/>
        <color indexed="8"/>
        <rFont val="宋体"/>
        <family val="3"/>
        <charset val="134"/>
      </rPr>
      <t>委托业务费</t>
    </r>
  </si>
  <si>
    <r>
      <rPr>
        <sz val="12"/>
        <color indexed="8"/>
        <rFont val="Times New Roman"/>
        <family val="1"/>
      </rPr>
      <t xml:space="preserve">    19.</t>
    </r>
    <r>
      <rPr>
        <sz val="12"/>
        <color indexed="8"/>
        <rFont val="宋体"/>
        <family val="3"/>
        <charset val="134"/>
      </rPr>
      <t>工会经费</t>
    </r>
  </si>
  <si>
    <r>
      <rPr>
        <sz val="12"/>
        <color indexed="8"/>
        <rFont val="Times New Roman"/>
        <family val="1"/>
      </rPr>
      <t xml:space="preserve">    20.</t>
    </r>
    <r>
      <rPr>
        <sz val="12"/>
        <color indexed="8"/>
        <rFont val="宋体"/>
        <family val="3"/>
        <charset val="134"/>
      </rPr>
      <t>福利费</t>
    </r>
  </si>
  <si>
    <r>
      <rPr>
        <sz val="12"/>
        <color rgb="FF000000"/>
        <rFont val="Times New Roman"/>
        <family val="1"/>
      </rPr>
      <t xml:space="preserve">    21.</t>
    </r>
    <r>
      <rPr>
        <sz val="12"/>
        <color rgb="FF000000"/>
        <rFont val="宋体"/>
        <family val="3"/>
        <charset val="134"/>
      </rPr>
      <t>赔偿及赞助</t>
    </r>
  </si>
  <si>
    <r>
      <rPr>
        <sz val="12"/>
        <color indexed="8"/>
        <rFont val="Times New Roman"/>
        <family val="1"/>
      </rPr>
      <t xml:space="preserve">    22.</t>
    </r>
    <r>
      <rPr>
        <sz val="12"/>
        <color indexed="8"/>
        <rFont val="宋体"/>
        <family val="3"/>
        <charset val="134"/>
      </rPr>
      <t>其他交通费用</t>
    </r>
  </si>
  <si>
    <r>
      <rPr>
        <sz val="12"/>
        <color indexed="8"/>
        <rFont val="Times New Roman"/>
        <family val="1"/>
      </rPr>
      <t xml:space="preserve">    23.</t>
    </r>
    <r>
      <rPr>
        <sz val="12"/>
        <color indexed="8"/>
        <rFont val="宋体"/>
        <family val="3"/>
        <charset val="134"/>
      </rPr>
      <t>税金及附加费用</t>
    </r>
  </si>
  <si>
    <r>
      <rPr>
        <sz val="12"/>
        <color indexed="8"/>
        <rFont val="Times New Roman"/>
        <family val="1"/>
      </rPr>
      <t xml:space="preserve">    24.</t>
    </r>
    <r>
      <rPr>
        <sz val="12"/>
        <color indexed="8"/>
        <rFont val="宋体"/>
        <family val="3"/>
        <charset val="134"/>
      </rPr>
      <t>其他商品和服务支出</t>
    </r>
  </si>
  <si>
    <t>三、对个人和家庭的补助</t>
  </si>
  <si>
    <r>
      <rPr>
        <sz val="12"/>
        <color indexed="8"/>
        <rFont val="Times New Roman"/>
        <family val="1"/>
      </rPr>
      <t xml:space="preserve">    1.</t>
    </r>
    <r>
      <rPr>
        <sz val="12"/>
        <color indexed="8"/>
        <rFont val="宋体"/>
        <family val="3"/>
        <charset val="134"/>
      </rPr>
      <t>离休费</t>
    </r>
  </si>
  <si>
    <r>
      <rPr>
        <sz val="12"/>
        <color indexed="8"/>
        <rFont val="Times New Roman"/>
        <family val="1"/>
      </rPr>
      <t xml:space="preserve">    2.</t>
    </r>
    <r>
      <rPr>
        <sz val="12"/>
        <color indexed="8"/>
        <rFont val="宋体"/>
        <family val="3"/>
        <charset val="134"/>
      </rPr>
      <t>抚恤金</t>
    </r>
  </si>
  <si>
    <r>
      <rPr>
        <sz val="12"/>
        <color indexed="8"/>
        <rFont val="Times New Roman"/>
        <family val="1"/>
      </rPr>
      <t xml:space="preserve">    3.</t>
    </r>
    <r>
      <rPr>
        <sz val="12"/>
        <color indexed="8"/>
        <rFont val="宋体"/>
        <family val="3"/>
        <charset val="134"/>
      </rPr>
      <t>生活补助</t>
    </r>
  </si>
  <si>
    <r>
      <rPr>
        <sz val="12"/>
        <color indexed="8"/>
        <rFont val="Times New Roman"/>
        <family val="1"/>
      </rPr>
      <t xml:space="preserve">    4.</t>
    </r>
    <r>
      <rPr>
        <sz val="12"/>
        <color indexed="8"/>
        <rFont val="宋体"/>
        <family val="3"/>
        <charset val="134"/>
      </rPr>
      <t>医疗费补助</t>
    </r>
  </si>
  <si>
    <r>
      <rPr>
        <sz val="12"/>
        <color indexed="8"/>
        <rFont val="Times New Roman"/>
        <family val="1"/>
      </rPr>
      <t xml:space="preserve">    5.</t>
    </r>
    <r>
      <rPr>
        <sz val="12"/>
        <color indexed="8"/>
        <rFont val="宋体"/>
        <family val="3"/>
        <charset val="134"/>
      </rPr>
      <t>助学金</t>
    </r>
  </si>
  <si>
    <r>
      <rPr>
        <sz val="12"/>
        <color indexed="8"/>
        <rFont val="Times New Roman"/>
        <family val="1"/>
      </rPr>
      <t xml:space="preserve">    6.</t>
    </r>
    <r>
      <rPr>
        <sz val="12"/>
        <color indexed="8"/>
        <rFont val="宋体"/>
        <family val="3"/>
        <charset val="134"/>
      </rPr>
      <t>其他对个人和家庭的补助支出</t>
    </r>
  </si>
  <si>
    <t>四、固定资产折旧（元）</t>
  </si>
  <si>
    <r>
      <rPr>
        <sz val="12"/>
        <color indexed="8"/>
        <rFont val="Times New Roman"/>
        <family val="1"/>
      </rPr>
      <t xml:space="preserve">    5.</t>
    </r>
    <r>
      <rPr>
        <sz val="12"/>
        <color indexed="8"/>
        <rFont val="宋体"/>
        <family val="3"/>
        <charset val="134"/>
      </rPr>
      <t>其他固定资产</t>
    </r>
  </si>
  <si>
    <r>
      <rPr>
        <b/>
        <sz val="12"/>
        <rFont val="宋体"/>
        <family val="3"/>
        <charset val="134"/>
      </rPr>
      <t>五、无形资产摊销</t>
    </r>
  </si>
  <si>
    <t>六、财务费用</t>
  </si>
  <si>
    <r>
      <rPr>
        <sz val="12"/>
        <rFont val="Times New Roman"/>
        <family val="1"/>
      </rPr>
      <t xml:space="preserve">    1.</t>
    </r>
    <r>
      <rPr>
        <sz val="12"/>
        <rFont val="宋体"/>
        <family val="3"/>
        <charset val="134"/>
      </rPr>
      <t>利息支出</t>
    </r>
  </si>
  <si>
    <r>
      <rPr>
        <sz val="12"/>
        <rFont val="Times New Roman"/>
        <family val="1"/>
      </rPr>
      <t xml:space="preserve">    2.</t>
    </r>
    <r>
      <rPr>
        <sz val="12"/>
        <rFont val="宋体"/>
        <family val="3"/>
        <charset val="134"/>
      </rPr>
      <t>利息收入</t>
    </r>
  </si>
  <si>
    <r>
      <rPr>
        <sz val="12"/>
        <rFont val="Times New Roman"/>
        <family val="1"/>
      </rPr>
      <t xml:space="preserve">    3.</t>
    </r>
    <r>
      <rPr>
        <sz val="12"/>
        <rFont val="宋体"/>
        <family val="3"/>
        <charset val="134"/>
      </rPr>
      <t>手续费</t>
    </r>
  </si>
  <si>
    <t>七、学校总支出</t>
  </si>
  <si>
    <r>
      <rPr>
        <sz val="16"/>
        <rFont val="黑体"/>
        <family val="3"/>
        <charset val="134"/>
      </rPr>
      <t>表</t>
    </r>
    <r>
      <rPr>
        <sz val="16"/>
        <rFont val="Times New Roman"/>
        <family val="1"/>
      </rPr>
      <t>4</t>
    </r>
  </si>
  <si>
    <t>项目　</t>
  </si>
  <si>
    <r>
      <rPr>
        <b/>
        <sz val="12"/>
        <rFont val="Times New Roman"/>
        <family val="1"/>
      </rPr>
      <t>2019</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</si>
  <si>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</si>
  <si>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</si>
  <si>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</si>
  <si>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</si>
  <si>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</si>
  <si>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</si>
  <si>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</si>
  <si>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</si>
  <si>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</si>
  <si>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</si>
  <si>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</si>
  <si>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</si>
  <si>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</si>
  <si>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</si>
  <si>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</si>
  <si>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</si>
  <si>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</si>
  <si>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</si>
  <si>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</si>
  <si>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</si>
  <si>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</si>
  <si>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</si>
  <si>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</si>
  <si>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r>
      <rPr>
        <b/>
        <sz val="12"/>
        <color indexed="8"/>
        <rFont val="宋体"/>
        <family val="3"/>
        <charset val="134"/>
      </rPr>
      <t>核定数</t>
    </r>
  </si>
  <si>
    <r>
      <rPr>
        <sz val="12"/>
        <rFont val="宋体"/>
        <family val="3"/>
        <charset val="134"/>
      </rPr>
      <t>小学部</t>
    </r>
  </si>
  <si>
    <r>
      <rPr>
        <b/>
        <sz val="12"/>
        <rFont val="宋体"/>
        <family val="3"/>
        <charset val="134"/>
      </rPr>
      <t>标准学生人数</t>
    </r>
  </si>
  <si>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</si>
  <si>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</si>
  <si>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</si>
  <si>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</si>
  <si>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</si>
  <si>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核减数</t>
    </r>
  </si>
  <si>
    <r>
      <rPr>
        <b/>
        <sz val="12"/>
        <color indexed="8"/>
        <rFont val="宋体"/>
        <family val="3"/>
        <charset val="134"/>
      </rPr>
      <t>教职工人数</t>
    </r>
  </si>
  <si>
    <t>（一）在职教职工人数</t>
  </si>
  <si>
    <r>
      <rPr>
        <sz val="12"/>
        <color rgb="FF000000"/>
        <rFont val="Times New Roman"/>
        <family val="1"/>
      </rPr>
      <t xml:space="preserve">             </t>
    </r>
    <r>
      <rPr>
        <sz val="12"/>
        <color indexed="8"/>
        <rFont val="宋体"/>
        <family val="3"/>
        <charset val="134"/>
      </rPr>
      <t>小学部</t>
    </r>
  </si>
  <si>
    <r>
      <rPr>
        <sz val="12"/>
        <color rgb="FF000000"/>
        <rFont val="Times New Roman"/>
        <family val="1"/>
      </rPr>
      <t xml:space="preserve">            </t>
    </r>
    <r>
      <rPr>
        <sz val="12"/>
        <color indexed="8"/>
        <rFont val="宋体"/>
        <family val="3"/>
        <charset val="134"/>
      </rPr>
      <t>初中部</t>
    </r>
  </si>
  <si>
    <r>
      <rPr>
        <sz val="12"/>
        <color rgb="FF000000"/>
        <rFont val="Times New Roman"/>
        <family val="1"/>
      </rPr>
      <t xml:space="preserve">            </t>
    </r>
    <r>
      <rPr>
        <sz val="12"/>
        <color indexed="8"/>
        <rFont val="宋体"/>
        <family val="3"/>
        <charset val="134"/>
      </rPr>
      <t>高中部</t>
    </r>
  </si>
  <si>
    <r>
      <rPr>
        <b/>
        <sz val="12"/>
        <color theme="1"/>
        <rFont val="Times New Roman"/>
        <family val="1"/>
      </rPr>
      <t>2019</t>
    </r>
    <r>
      <rPr>
        <b/>
        <sz val="12"/>
        <color indexed="8"/>
        <rFont val="宋体"/>
        <family val="3"/>
        <charset val="134"/>
      </rPr>
      <t>年上报数</t>
    </r>
  </si>
  <si>
    <r>
      <rPr>
        <b/>
        <sz val="12"/>
        <color indexed="8"/>
        <rFont val="宋体"/>
        <family val="3"/>
        <charset val="134"/>
      </rPr>
      <t>最高限额</t>
    </r>
  </si>
  <si>
    <r>
      <rPr>
        <b/>
        <sz val="12"/>
        <color theme="1"/>
        <rFont val="Times New Roman"/>
        <family val="1"/>
      </rPr>
      <t>2019</t>
    </r>
    <r>
      <rPr>
        <b/>
        <sz val="12"/>
        <color indexed="8"/>
        <rFont val="宋体"/>
        <family val="3"/>
        <charset val="134"/>
      </rPr>
      <t>年核减数</t>
    </r>
  </si>
  <si>
    <r>
      <rPr>
        <b/>
        <sz val="12"/>
        <color indexed="8"/>
        <rFont val="宋体"/>
        <family val="3"/>
        <charset val="134"/>
      </rPr>
      <t>最低限额</t>
    </r>
  </si>
  <si>
    <t>比列</t>
  </si>
  <si>
    <r>
      <rPr>
        <sz val="12"/>
        <rFont val="宋体"/>
        <family val="3"/>
        <charset val="134"/>
      </rPr>
      <t>职工薪酬</t>
    </r>
  </si>
  <si>
    <r>
      <rPr>
        <sz val="12"/>
        <rFont val="宋体"/>
        <family val="3"/>
        <charset val="134"/>
      </rPr>
      <t>职工福利费</t>
    </r>
  </si>
  <si>
    <r>
      <rPr>
        <sz val="12"/>
        <rFont val="宋体"/>
        <family val="3"/>
        <charset val="134"/>
      </rPr>
      <t>社会保障费</t>
    </r>
    <r>
      <rPr>
        <sz val="12"/>
        <rFont val="Times New Roman"/>
        <family val="1"/>
      </rPr>
      <t>(</t>
    </r>
    <r>
      <rPr>
        <sz val="12"/>
        <rFont val="宋体"/>
        <family val="3"/>
        <charset val="134"/>
      </rPr>
      <t>五险</t>
    </r>
    <r>
      <rPr>
        <sz val="12"/>
        <rFont val="Times New Roman"/>
        <family val="1"/>
      </rPr>
      <t>)</t>
    </r>
  </si>
  <si>
    <r>
      <rPr>
        <sz val="12"/>
        <rFont val="宋体"/>
        <family val="3"/>
        <charset val="134"/>
      </rPr>
      <t>企业年金</t>
    </r>
  </si>
  <si>
    <t>补充医疗保险</t>
  </si>
  <si>
    <r>
      <rPr>
        <sz val="12"/>
        <rFont val="宋体"/>
        <family val="3"/>
        <charset val="134"/>
      </rPr>
      <t>住房公积金</t>
    </r>
  </si>
  <si>
    <r>
      <rPr>
        <sz val="12"/>
        <rFont val="宋体"/>
        <family val="3"/>
        <charset val="134"/>
      </rPr>
      <t>工会经费</t>
    </r>
  </si>
  <si>
    <r>
      <rPr>
        <sz val="12"/>
        <rFont val="宋体"/>
        <family val="3"/>
        <charset val="134"/>
      </rPr>
      <t>职工教育经费</t>
    </r>
  </si>
  <si>
    <t>其他</t>
  </si>
  <si>
    <r>
      <rPr>
        <b/>
        <sz val="12"/>
        <color theme="1"/>
        <rFont val="Times New Roman"/>
        <family val="1"/>
      </rPr>
      <t>2020</t>
    </r>
    <r>
      <rPr>
        <b/>
        <sz val="12"/>
        <color indexed="8"/>
        <rFont val="宋体"/>
        <family val="3"/>
        <charset val="134"/>
      </rPr>
      <t>年上报数</t>
    </r>
  </si>
  <si>
    <r>
      <rPr>
        <b/>
        <sz val="12"/>
        <color theme="1"/>
        <rFont val="Times New Roman"/>
        <family val="1"/>
      </rPr>
      <t>2020</t>
    </r>
    <r>
      <rPr>
        <b/>
        <sz val="12"/>
        <color indexed="8"/>
        <rFont val="宋体"/>
        <family val="3"/>
        <charset val="134"/>
      </rPr>
      <t>年核减数</t>
    </r>
  </si>
  <si>
    <r>
      <rPr>
        <b/>
        <sz val="12"/>
        <color theme="1"/>
        <rFont val="Times New Roman"/>
        <family val="1"/>
      </rPr>
      <t>2021</t>
    </r>
    <r>
      <rPr>
        <b/>
        <sz val="12"/>
        <color indexed="8"/>
        <rFont val="宋体"/>
        <family val="3"/>
        <charset val="134"/>
      </rPr>
      <t>年上报数</t>
    </r>
  </si>
  <si>
    <r>
      <rPr>
        <b/>
        <sz val="12"/>
        <color theme="1"/>
        <rFont val="Times New Roman"/>
        <family val="1"/>
      </rPr>
      <t>2021</t>
    </r>
    <r>
      <rPr>
        <b/>
        <sz val="12"/>
        <color indexed="8"/>
        <rFont val="宋体"/>
        <family val="3"/>
        <charset val="134"/>
      </rPr>
      <t>年核减数</t>
    </r>
  </si>
  <si>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</si>
  <si>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</si>
  <si>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</si>
  <si>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</si>
  <si>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</si>
  <si>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</si>
  <si>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b/>
        <sz val="12"/>
        <rFont val="宋体"/>
        <family val="3"/>
        <charset val="134"/>
      </rPr>
      <t>一、房屋及构筑物</t>
    </r>
  </si>
  <si>
    <r>
      <rPr>
        <sz val="12"/>
        <color rgb="FF000000"/>
        <rFont val="Times New Roman"/>
        <family val="1"/>
      </rPr>
      <t>1.</t>
    </r>
    <r>
      <rPr>
        <sz val="12"/>
        <color indexed="8"/>
        <rFont val="宋体"/>
        <family val="3"/>
        <charset val="134"/>
      </rPr>
      <t>房屋</t>
    </r>
  </si>
  <si>
    <r>
      <rPr>
        <sz val="12"/>
        <color rgb="FF000000"/>
        <rFont val="Times New Roman"/>
        <family val="1"/>
      </rPr>
      <t>2.</t>
    </r>
    <r>
      <rPr>
        <sz val="12"/>
        <color indexed="8"/>
        <rFont val="宋体"/>
        <family val="3"/>
        <charset val="134"/>
      </rPr>
      <t>简易房</t>
    </r>
  </si>
  <si>
    <r>
      <rPr>
        <sz val="12"/>
        <color rgb="FF000000"/>
        <rFont val="Times New Roman"/>
        <family val="1"/>
      </rPr>
      <t>3.</t>
    </r>
    <r>
      <rPr>
        <sz val="12"/>
        <color indexed="8"/>
        <rFont val="宋体"/>
        <family val="3"/>
        <charset val="134"/>
      </rPr>
      <t>房屋附属设施</t>
    </r>
  </si>
  <si>
    <r>
      <rPr>
        <sz val="12"/>
        <color rgb="FF000000"/>
        <rFont val="Times New Roman"/>
        <family val="1"/>
      </rPr>
      <t>4.</t>
    </r>
    <r>
      <rPr>
        <sz val="12"/>
        <color indexed="8"/>
        <rFont val="宋体"/>
        <family val="3"/>
        <charset val="134"/>
      </rPr>
      <t>构筑物</t>
    </r>
  </si>
  <si>
    <r>
      <rPr>
        <b/>
        <sz val="12"/>
        <color indexed="8"/>
        <rFont val="宋体"/>
        <family val="3"/>
        <charset val="134"/>
      </rPr>
      <t>二、通用设备</t>
    </r>
  </si>
  <si>
    <r>
      <rPr>
        <sz val="12"/>
        <color rgb="FF000000"/>
        <rFont val="Times New Roman"/>
        <family val="1"/>
      </rPr>
      <t>1.</t>
    </r>
    <r>
      <rPr>
        <sz val="12"/>
        <color indexed="8"/>
        <rFont val="宋体"/>
        <family val="3"/>
        <charset val="134"/>
      </rPr>
      <t>计算机设备</t>
    </r>
  </si>
  <si>
    <r>
      <rPr>
        <sz val="12"/>
        <color rgb="FF000000"/>
        <rFont val="Times New Roman"/>
        <family val="1"/>
      </rPr>
      <t>2.</t>
    </r>
    <r>
      <rPr>
        <sz val="12"/>
        <color indexed="8"/>
        <rFont val="宋体"/>
        <family val="3"/>
        <charset val="134"/>
      </rPr>
      <t>办公设备</t>
    </r>
  </si>
  <si>
    <r>
      <rPr>
        <sz val="12"/>
        <color rgb="FF000000"/>
        <rFont val="Times New Roman"/>
        <family val="1"/>
      </rPr>
      <t>3.</t>
    </r>
    <r>
      <rPr>
        <sz val="12"/>
        <color indexed="8"/>
        <rFont val="宋体"/>
        <family val="3"/>
        <charset val="134"/>
      </rPr>
      <t>车辆</t>
    </r>
  </si>
  <si>
    <r>
      <rPr>
        <sz val="12"/>
        <color rgb="FF000000"/>
        <rFont val="Times New Roman"/>
        <family val="1"/>
      </rPr>
      <t>4.</t>
    </r>
    <r>
      <rPr>
        <sz val="12"/>
        <color indexed="8"/>
        <rFont val="宋体"/>
        <family val="3"/>
        <charset val="134"/>
      </rPr>
      <t>图书档案设备</t>
    </r>
  </si>
  <si>
    <r>
      <rPr>
        <sz val="12"/>
        <color rgb="FF000000"/>
        <rFont val="Times New Roman"/>
        <family val="1"/>
      </rPr>
      <t>5.</t>
    </r>
    <r>
      <rPr>
        <sz val="12"/>
        <color indexed="8"/>
        <rFont val="宋体"/>
        <family val="3"/>
        <charset val="134"/>
      </rPr>
      <t>机械设备</t>
    </r>
  </si>
  <si>
    <r>
      <rPr>
        <sz val="12"/>
        <color rgb="FF000000"/>
        <rFont val="Times New Roman"/>
        <family val="1"/>
      </rPr>
      <t>6.</t>
    </r>
    <r>
      <rPr>
        <sz val="12"/>
        <color indexed="8"/>
        <rFont val="宋体"/>
        <family val="3"/>
        <charset val="134"/>
      </rPr>
      <t>电气设备</t>
    </r>
  </si>
  <si>
    <r>
      <rPr>
        <sz val="12"/>
        <color rgb="FF000000"/>
        <rFont val="Times New Roman"/>
        <family val="1"/>
      </rPr>
      <t>7.</t>
    </r>
    <r>
      <rPr>
        <sz val="12"/>
        <color indexed="8"/>
        <rFont val="宋体"/>
        <family val="3"/>
        <charset val="134"/>
      </rPr>
      <t>通信设备</t>
    </r>
  </si>
  <si>
    <r>
      <rPr>
        <sz val="12"/>
        <color rgb="FF000000"/>
        <rFont val="Times New Roman"/>
        <family val="1"/>
      </rPr>
      <t>8.</t>
    </r>
    <r>
      <rPr>
        <sz val="12"/>
        <color indexed="8"/>
        <rFont val="宋体"/>
        <family val="3"/>
        <charset val="134"/>
      </rPr>
      <t>广播、电视、电影设备</t>
    </r>
  </si>
  <si>
    <r>
      <rPr>
        <sz val="12"/>
        <color rgb="FF000000"/>
        <rFont val="Times New Roman"/>
        <family val="1"/>
      </rPr>
      <t>9.</t>
    </r>
    <r>
      <rPr>
        <sz val="12"/>
        <color indexed="8"/>
        <rFont val="宋体"/>
        <family val="3"/>
        <charset val="134"/>
      </rPr>
      <t>仪器仪表</t>
    </r>
  </si>
  <si>
    <r>
      <rPr>
        <sz val="12"/>
        <color rgb="FF000000"/>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</si>
  <si>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</si>
  <si>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rgb="FF000000"/>
        <rFont val="Times New Roman"/>
        <family val="1"/>
      </rPr>
      <t>1.</t>
    </r>
    <r>
      <rPr>
        <sz val="12"/>
        <color indexed="8"/>
        <rFont val="宋体"/>
        <family val="3"/>
        <charset val="134"/>
      </rPr>
      <t>专用仪器仪表</t>
    </r>
  </si>
  <si>
    <r>
      <rPr>
        <sz val="12"/>
        <color rgb="FF000000"/>
        <rFont val="Times New Roman"/>
        <family val="1"/>
      </rPr>
      <t>2.</t>
    </r>
    <r>
      <rPr>
        <sz val="12"/>
        <color indexed="8"/>
        <rFont val="宋体"/>
        <family val="3"/>
        <charset val="134"/>
      </rPr>
      <t>文艺设备</t>
    </r>
  </si>
  <si>
    <r>
      <rPr>
        <sz val="12"/>
        <color rgb="FF000000"/>
        <rFont val="Times New Roman"/>
        <family val="1"/>
      </rPr>
      <t>3.</t>
    </r>
    <r>
      <rPr>
        <sz val="12"/>
        <color indexed="8"/>
        <rFont val="宋体"/>
        <family val="3"/>
        <charset val="134"/>
      </rPr>
      <t>体育设备</t>
    </r>
  </si>
  <si>
    <r>
      <rPr>
        <sz val="12"/>
        <color rgb="FF000000"/>
        <rFont val="Times New Roman"/>
        <family val="1"/>
      </rPr>
      <t>4.</t>
    </r>
    <r>
      <rPr>
        <sz val="12"/>
        <color indexed="8"/>
        <rFont val="宋体"/>
        <family val="3"/>
        <charset val="134"/>
      </rPr>
      <t>娱乐设备</t>
    </r>
  </si>
  <si>
    <r>
      <rPr>
        <sz val="12"/>
        <color rgb="FF000000"/>
        <rFont val="Times New Roman"/>
        <family val="1"/>
      </rPr>
      <t>5.</t>
    </r>
    <r>
      <rPr>
        <sz val="12"/>
        <color indexed="8"/>
        <rFont val="宋体"/>
        <family val="3"/>
        <charset val="134"/>
      </rPr>
      <t>公安专用设备</t>
    </r>
  </si>
  <si>
    <r>
      <rPr>
        <sz val="12"/>
        <color rgb="FF000000"/>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</si>
  <si>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</si>
  <si>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rgb="FF000000"/>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</si>
  <si>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</si>
  <si>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rgb="FF000000"/>
        <rFont val="Times New Roman"/>
        <family val="1"/>
      </rPr>
      <t>2.</t>
    </r>
    <r>
      <rPr>
        <sz val="12"/>
        <color indexed="8"/>
        <rFont val="宋体"/>
        <family val="3"/>
        <charset val="134"/>
      </rPr>
      <t>用具和装具</t>
    </r>
  </si>
  <si>
    <t>有一部分通用设备和专用设备超过5年折旧期间，已折旧完但仍在使用，所以年折旧额低于上述折旧额</t>
  </si>
  <si>
    <t>承 诺 书</t>
  </si>
  <si>
    <r>
      <rPr>
        <sz val="15"/>
        <color theme="1"/>
        <rFont val="Times New Roman"/>
        <family val="1"/>
      </rPr>
      <t xml:space="preserve">        </t>
    </r>
    <r>
      <rPr>
        <sz val="15"/>
        <color theme="1"/>
        <rFont val="宋体"/>
        <family val="3"/>
        <charset val="134"/>
      </rPr>
      <t>根据《政府制定价格成本监审办法》（国家发展和改革委员会第</t>
    </r>
    <r>
      <rPr>
        <sz val="15"/>
        <color theme="1"/>
        <rFont val="Times New Roman"/>
        <family val="1"/>
      </rPr>
      <t>8</t>
    </r>
    <r>
      <rPr>
        <sz val="15"/>
        <color theme="1"/>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</si>
  <si>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</si>
  <si>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</si>
  <si>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theme="1"/>
        <rFont val="Times New Roman"/>
        <family val="1"/>
      </rPr>
      <t xml:space="preserve">                                                    </t>
    </r>
    <r>
      <rPr>
        <sz val="15"/>
        <color theme="1"/>
        <rFont val="宋体"/>
        <family val="3"/>
        <charset val="134"/>
      </rPr>
      <t>财务负责人员（签字）：</t>
    </r>
  </si>
  <si>
    <t xml:space="preserve">                              法人代表（签字）：</t>
  </si>
  <si>
    <r>
      <rPr>
        <sz val="15"/>
        <color theme="1"/>
        <rFont val="Times New Roman"/>
        <family val="1"/>
      </rPr>
      <t xml:space="preserve">                                   </t>
    </r>
    <r>
      <rPr>
        <sz val="15"/>
        <color theme="1"/>
        <rFont val="宋体"/>
        <family val="3"/>
        <charset val="134"/>
      </rPr>
      <t>年</t>
    </r>
    <r>
      <rPr>
        <sz val="15"/>
        <color theme="1"/>
        <rFont val="Times New Roman"/>
        <family val="1"/>
      </rPr>
      <t xml:space="preserve">     </t>
    </r>
    <r>
      <rPr>
        <sz val="15"/>
        <color theme="1"/>
        <rFont val="宋体"/>
        <family val="3"/>
        <charset val="134"/>
      </rPr>
      <t>月</t>
    </r>
    <r>
      <rPr>
        <sz val="16"/>
        <color theme="1"/>
        <rFont val="Times New Roman"/>
        <family val="1"/>
      </rPr>
      <t xml:space="preserve">     </t>
    </r>
    <r>
      <rPr>
        <sz val="16"/>
        <color theme="1"/>
        <rFont val="宋体"/>
        <family val="3"/>
        <charset val="134"/>
      </rPr>
      <t>日</t>
    </r>
  </si>
  <si>
    <r>
      <t>2019</t>
    </r>
    <r>
      <rPr>
        <sz val="12"/>
        <rFont val="宋体"/>
        <family val="3"/>
        <charset val="134"/>
      </rPr>
      <t>年</t>
    </r>
    <phoneticPr fontId="34" type="noConversion"/>
  </si>
  <si>
    <r>
      <t>2020</t>
    </r>
    <r>
      <rPr>
        <sz val="12"/>
        <rFont val="宋体"/>
        <family val="3"/>
        <charset val="134"/>
      </rPr>
      <t>年</t>
    </r>
    <phoneticPr fontId="34" type="noConversion"/>
  </si>
  <si>
    <r>
      <t>2021</t>
    </r>
    <r>
      <rPr>
        <sz val="12"/>
        <rFont val="宋体"/>
        <family val="3"/>
        <charset val="134"/>
      </rPr>
      <t>年</t>
    </r>
    <phoneticPr fontId="34" type="noConversion"/>
  </si>
  <si>
    <t>年  度</t>
    <phoneticPr fontId="34" type="noConversion"/>
  </si>
  <si>
    <t>该校为单一小学教育，每生取值为1</t>
    <phoneticPr fontId="34" type="noConversion"/>
  </si>
  <si>
    <t>说   明</t>
    <phoneticPr fontId="34" type="noConversion"/>
  </si>
  <si>
    <r>
      <rPr>
        <sz val="12"/>
        <rFont val="宋体"/>
        <family val="3"/>
        <charset val="134"/>
      </rPr>
      <t>合</t>
    </r>
    <r>
      <rPr>
        <sz val="12"/>
        <rFont val="Times New Roman"/>
        <family val="1"/>
      </rPr>
      <t xml:space="preserve">  </t>
    </r>
    <r>
      <rPr>
        <sz val="12"/>
        <rFont val="宋体"/>
        <family val="3"/>
        <charset val="134"/>
      </rPr>
      <t>计</t>
    </r>
    <phoneticPr fontId="34" type="noConversion"/>
  </si>
  <si>
    <t>小计</t>
    <phoneticPr fontId="34" type="noConversion"/>
  </si>
  <si>
    <t>单位：元</t>
    <phoneticPr fontId="34" type="noConversion"/>
  </si>
  <si>
    <t>伯爵小学固定资产折旧计算表</t>
    <phoneticPr fontId="34" type="noConversion"/>
  </si>
  <si>
    <t>2019年</t>
    <phoneticPr fontId="34" type="noConversion"/>
  </si>
  <si>
    <t>二、通用设备</t>
    <phoneticPr fontId="34" type="noConversion"/>
  </si>
  <si>
    <t>三、专用设备</t>
    <phoneticPr fontId="34" type="noConversion"/>
  </si>
  <si>
    <r>
      <t>2020</t>
    </r>
    <r>
      <rPr>
        <b/>
        <sz val="12"/>
        <color rgb="FF000000"/>
        <rFont val="宋体"/>
        <family val="3"/>
        <charset val="134"/>
      </rPr>
      <t>年</t>
    </r>
    <phoneticPr fontId="34" type="noConversion"/>
  </si>
  <si>
    <t>净值</t>
    <phoneticPr fontId="34" type="noConversion"/>
  </si>
  <si>
    <t>第一次分摊</t>
    <phoneticPr fontId="34" type="noConversion"/>
  </si>
  <si>
    <t>小学</t>
    <phoneticPr fontId="34" type="noConversion"/>
  </si>
  <si>
    <t>幼儿园</t>
    <phoneticPr fontId="34" type="noConversion"/>
  </si>
  <si>
    <t>学费收入</t>
    <phoneticPr fontId="34" type="noConversion"/>
  </si>
  <si>
    <t>附表：5</t>
    <phoneticPr fontId="34" type="noConversion"/>
  </si>
  <si>
    <t>小学占比</t>
    <phoneticPr fontId="34" type="noConversion"/>
  </si>
  <si>
    <t>幼儿园占比</t>
    <phoneticPr fontId="34" type="noConversion"/>
  </si>
  <si>
    <t>小学第二次分摊</t>
    <phoneticPr fontId="34" type="noConversion"/>
  </si>
  <si>
    <t>学费占比</t>
    <phoneticPr fontId="34" type="noConversion"/>
  </si>
  <si>
    <t>住宿费占比</t>
    <phoneticPr fontId="34" type="noConversion"/>
  </si>
  <si>
    <t>服务费占比</t>
    <phoneticPr fontId="34" type="noConversion"/>
  </si>
  <si>
    <t>第二次分摊占比第一次分摊系数</t>
    <phoneticPr fontId="34" type="noConversion"/>
  </si>
  <si>
    <t>按照分摊系数表分摊固定资产折旧</t>
    <phoneticPr fontId="34" type="noConversion"/>
  </si>
  <si>
    <t>学费0.688</t>
    <phoneticPr fontId="34" type="noConversion"/>
  </si>
  <si>
    <r>
      <rPr>
        <sz val="12"/>
        <rFont val="宋体"/>
        <family val="3"/>
        <charset val="134"/>
      </rPr>
      <t>住宿费</t>
    </r>
    <r>
      <rPr>
        <sz val="12"/>
        <rFont val="Times New Roman"/>
        <family val="1"/>
      </rPr>
      <t>0.05</t>
    </r>
    <phoneticPr fontId="34" type="noConversion"/>
  </si>
  <si>
    <r>
      <rPr>
        <sz val="12"/>
        <rFont val="宋体"/>
        <family val="3"/>
        <charset val="134"/>
      </rPr>
      <t>服务费</t>
    </r>
    <r>
      <rPr>
        <sz val="12"/>
        <rFont val="Times New Roman"/>
        <family val="1"/>
      </rPr>
      <t>0.126</t>
    </r>
    <phoneticPr fontId="34" type="noConversion"/>
  </si>
  <si>
    <t>学费0.751</t>
    <phoneticPr fontId="34" type="noConversion"/>
  </si>
  <si>
    <r>
      <rPr>
        <sz val="12"/>
        <rFont val="宋体"/>
        <family val="3"/>
        <charset val="134"/>
      </rPr>
      <t>住宿费</t>
    </r>
    <r>
      <rPr>
        <sz val="12"/>
        <rFont val="Times New Roman"/>
        <family val="1"/>
      </rPr>
      <t>0.04</t>
    </r>
    <phoneticPr fontId="34" type="noConversion"/>
  </si>
  <si>
    <r>
      <rPr>
        <sz val="12"/>
        <rFont val="宋体"/>
        <family val="3"/>
        <charset val="134"/>
      </rPr>
      <t>服务费</t>
    </r>
    <r>
      <rPr>
        <sz val="12"/>
        <rFont val="Times New Roman"/>
        <family val="1"/>
      </rPr>
      <t>0.100</t>
    </r>
    <phoneticPr fontId="34" type="noConversion"/>
  </si>
  <si>
    <t>学费0.767</t>
    <phoneticPr fontId="34" type="noConversion"/>
  </si>
  <si>
    <r>
      <rPr>
        <sz val="12"/>
        <rFont val="宋体"/>
        <family val="3"/>
        <charset val="134"/>
      </rPr>
      <t>住宿费</t>
    </r>
    <r>
      <rPr>
        <sz val="12"/>
        <rFont val="Times New Roman"/>
        <family val="1"/>
      </rPr>
      <t>0.032</t>
    </r>
    <phoneticPr fontId="34" type="noConversion"/>
  </si>
  <si>
    <r>
      <rPr>
        <sz val="12"/>
        <rFont val="宋体"/>
        <family val="3"/>
        <charset val="134"/>
      </rPr>
      <t>服务费</t>
    </r>
    <r>
      <rPr>
        <sz val="12"/>
        <rFont val="Times New Roman"/>
        <family val="1"/>
      </rPr>
      <t>0.08</t>
    </r>
    <phoneticPr fontId="34" type="noConversion"/>
  </si>
  <si>
    <r>
      <t xml:space="preserve">    </t>
    </r>
    <r>
      <rPr>
        <sz val="12"/>
        <rFont val="宋体"/>
        <family val="3"/>
        <charset val="134"/>
      </rPr>
      <t>小学生均教育培养成本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34" type="noConversion"/>
  </si>
  <si>
    <t xml:space="preserve">三年平均教育培养成本(元／生·年) </t>
    <phoneticPr fontId="34" type="noConversion"/>
  </si>
  <si>
    <t>祁阳市伯爵小学教育成本归集表</t>
    <phoneticPr fontId="34" type="noConversion"/>
  </si>
  <si>
    <t>祁阳市伯爵小学收入情况表</t>
    <phoneticPr fontId="34" type="noConversion"/>
  </si>
  <si>
    <t>祁阳市伯爵小学基本情况表</t>
    <phoneticPr fontId="34" type="noConversion"/>
  </si>
  <si>
    <t>祁阳市伯爵小学教育培养成本核定表</t>
    <phoneticPr fontId="34" type="noConversion"/>
  </si>
  <si>
    <t>祁阳市伯爵小学学生人数核定表</t>
    <phoneticPr fontId="34" type="noConversion"/>
  </si>
  <si>
    <t>祁阳市伯爵小学2019年教职工人数核定表</t>
    <phoneticPr fontId="34" type="noConversion"/>
  </si>
  <si>
    <t>祁阳市伯爵小学2020教职工人数核定表</t>
    <phoneticPr fontId="34" type="noConversion"/>
  </si>
  <si>
    <t>祁阳市伯爵小学2021教职工人数核定表</t>
    <phoneticPr fontId="34" type="noConversion"/>
  </si>
  <si>
    <t>祁阳市伯爵小学职工薪酬核定表</t>
    <phoneticPr fontId="34" type="noConversion"/>
  </si>
  <si>
    <r>
      <t>10.</t>
    </r>
    <r>
      <rPr>
        <sz val="12"/>
        <color indexed="8"/>
        <rFont val="宋体"/>
        <family val="3"/>
        <charset val="134"/>
      </rPr>
      <t>电子和通信测量设备</t>
    </r>
    <phoneticPr fontId="34" type="noConversion"/>
  </si>
  <si>
    <r>
      <t xml:space="preserve">伯爵小学固定资产折旧核算表    </t>
    </r>
    <r>
      <rPr>
        <sz val="10"/>
        <color rgb="FF000000"/>
        <rFont val="仿宋_GB2312"/>
        <family val="3"/>
        <charset val="134"/>
      </rPr>
      <t>单位：元</t>
    </r>
    <phoneticPr fontId="34" type="noConversion"/>
  </si>
  <si>
    <t xml:space="preserve"> </t>
    <phoneticPr fontId="34" type="noConversion"/>
  </si>
  <si>
    <r>
      <t>2021</t>
    </r>
    <r>
      <rPr>
        <b/>
        <sz val="12"/>
        <color rgb="FF000000"/>
        <rFont val="宋体"/>
        <family val="3"/>
        <charset val="134"/>
      </rPr>
      <t>年</t>
    </r>
    <phoneticPr fontId="34" type="noConversion"/>
  </si>
  <si>
    <t>祁阳市伯爵小学均摊系数表</t>
    <phoneticPr fontId="34" type="noConversion"/>
  </si>
  <si>
    <r>
      <t>社会保障费</t>
    </r>
    <r>
      <rPr>
        <sz val="10"/>
        <rFont val="Times New Roman"/>
        <family val="1"/>
      </rPr>
      <t>(</t>
    </r>
    <r>
      <rPr>
        <sz val="10"/>
        <rFont val="宋体"/>
        <family val="3"/>
        <charset val="134"/>
      </rPr>
      <t>五险</t>
    </r>
    <r>
      <rPr>
        <sz val="10"/>
        <rFont val="Times New Roman"/>
        <family val="1"/>
      </rPr>
      <t>)</t>
    </r>
  </si>
</sst>
</file>

<file path=xl/styles.xml><?xml version="1.0" encoding="utf-8"?>
<styleSheet xmlns="http://schemas.openxmlformats.org/spreadsheetml/2006/main">
  <numFmts count="8">
    <numFmt numFmtId="43" formatCode="_ * #,##0.00_ ;_ * \-#,##0.00_ ;_ * &quot;-&quot;??_ ;_ @_ "/>
    <numFmt numFmtId="176" formatCode="#,##0.00_ "/>
    <numFmt numFmtId="177" formatCode="0.00_);\(0.00\)"/>
    <numFmt numFmtId="178" formatCode="0_ "/>
    <numFmt numFmtId="179" formatCode="0.00_ "/>
    <numFmt numFmtId="180" formatCode="#,##0.00_);[Red]\(#,##0.00\)"/>
    <numFmt numFmtId="181" formatCode="0.00_);[Red]\(0.00\)"/>
    <numFmt numFmtId="182" formatCode="0.000_ "/>
  </numFmts>
  <fonts count="42">
    <font>
      <sz val="11"/>
      <color theme="1"/>
      <name val="宋体"/>
      <charset val="134"/>
      <scheme val="minor"/>
    </font>
    <font>
      <b/>
      <sz val="26"/>
      <color theme="1"/>
      <name val="方正黑体_GBK"/>
      <charset val="134"/>
    </font>
    <font>
      <sz val="15"/>
      <color theme="1"/>
      <name val="宋体"/>
      <family val="3"/>
      <charset val="134"/>
    </font>
    <font>
      <sz val="15"/>
      <color theme="1"/>
      <name val="Calibri"/>
      <family val="2"/>
    </font>
    <font>
      <sz val="15"/>
      <color theme="1"/>
      <name val="Times New Roman"/>
      <family val="1"/>
    </font>
    <font>
      <b/>
      <sz val="20"/>
      <color rgb="FF000000"/>
      <name val="方正小标宋简体"/>
      <family val="4"/>
      <charset val="134"/>
    </font>
    <font>
      <b/>
      <sz val="12"/>
      <color rgb="FF000000"/>
      <name val="Times New Roman"/>
      <family val="1"/>
    </font>
    <font>
      <b/>
      <sz val="12"/>
      <name val="Times New Roman"/>
      <family val="1"/>
    </font>
    <font>
      <sz val="12"/>
      <name val="Times New Roman"/>
      <family val="1"/>
    </font>
    <font>
      <sz val="12"/>
      <color rgb="FF000000"/>
      <name val="Times New Roman"/>
      <family val="1"/>
    </font>
    <font>
      <b/>
      <sz val="20"/>
      <name val="方正小标宋简体"/>
      <family val="4"/>
      <charset val="134"/>
    </font>
    <font>
      <sz val="12"/>
      <name val="宋体"/>
      <family val="3"/>
      <charset val="134"/>
    </font>
    <font>
      <b/>
      <sz val="12"/>
      <color theme="1"/>
      <name val="Times New Roman"/>
      <family val="1"/>
    </font>
    <font>
      <b/>
      <sz val="12"/>
      <name val="宋体"/>
      <family val="3"/>
      <charset val="134"/>
    </font>
    <font>
      <b/>
      <sz val="11"/>
      <color theme="1"/>
      <name val="宋体"/>
      <family val="3"/>
      <charset val="134"/>
      <scheme val="minor"/>
    </font>
    <font>
      <sz val="12"/>
      <color rgb="FF000000"/>
      <name val="宋体"/>
      <family val="3"/>
      <charset val="134"/>
    </font>
    <font>
      <sz val="16"/>
      <name val="Times New Roman"/>
      <family val="1"/>
    </font>
    <font>
      <b/>
      <sz val="10"/>
      <name val="Times New Roman"/>
      <family val="1"/>
    </font>
    <font>
      <sz val="12"/>
      <color indexed="8"/>
      <name val="Times New Roman"/>
      <family val="1"/>
    </font>
    <font>
      <b/>
      <sz val="12"/>
      <color indexed="8"/>
      <name val="宋体"/>
      <family val="3"/>
      <charset val="134"/>
    </font>
    <font>
      <sz val="16"/>
      <name val="黑体"/>
      <family val="3"/>
      <charset val="134"/>
    </font>
    <font>
      <sz val="10"/>
      <name val="Times New Roman"/>
      <family val="1"/>
    </font>
    <font>
      <sz val="12"/>
      <color theme="1"/>
      <name val="宋体"/>
      <family val="3"/>
      <charset val="134"/>
    </font>
    <font>
      <b/>
      <sz val="12"/>
      <color indexed="8"/>
      <name val="Times New Roman"/>
      <family val="1"/>
    </font>
    <font>
      <sz val="16"/>
      <color rgb="FF000000"/>
      <name val="方正楷体简体"/>
      <charset val="134"/>
    </font>
    <font>
      <sz val="12"/>
      <name val="Calibri"/>
      <family val="2"/>
    </font>
    <font>
      <sz val="11"/>
      <color theme="1"/>
      <name val="宋体"/>
      <family val="3"/>
      <charset val="134"/>
      <scheme val="minor"/>
    </font>
    <font>
      <sz val="16"/>
      <color theme="1"/>
      <name val="Times New Roman"/>
      <family val="1"/>
    </font>
    <font>
      <sz val="16"/>
      <color theme="1"/>
      <name val="宋体"/>
      <family val="3"/>
      <charset val="134"/>
    </font>
    <font>
      <sz val="12"/>
      <color indexed="8"/>
      <name val="宋体"/>
      <family val="3"/>
      <charset val="134"/>
    </font>
    <font>
      <sz val="16"/>
      <name val="宋体"/>
      <family val="3"/>
      <charset val="134"/>
    </font>
    <font>
      <sz val="9"/>
      <name val="宋体"/>
      <family val="3"/>
      <charset val="134"/>
    </font>
    <font>
      <b/>
      <sz val="9"/>
      <name val="宋体"/>
      <family val="3"/>
      <charset val="134"/>
    </font>
    <font>
      <sz val="11"/>
      <color theme="1"/>
      <name val="宋体"/>
      <family val="3"/>
      <charset val="134"/>
      <scheme val="minor"/>
    </font>
    <font>
      <sz val="9"/>
      <name val="宋体"/>
      <family val="3"/>
      <charset val="134"/>
      <scheme val="minor"/>
    </font>
    <font>
      <b/>
      <sz val="12"/>
      <color rgb="FFFF0000"/>
      <name val="宋体"/>
      <family val="3"/>
      <charset val="134"/>
    </font>
    <font>
      <sz val="18"/>
      <color theme="1"/>
      <name val="宋体"/>
      <family val="3"/>
      <charset val="134"/>
      <scheme val="minor"/>
    </font>
    <font>
      <b/>
      <sz val="12"/>
      <color rgb="FF000000"/>
      <name val="宋体"/>
      <family val="3"/>
      <charset val="134"/>
    </font>
    <font>
      <sz val="9"/>
      <color rgb="FF000000"/>
      <name val="宋体"/>
      <family val="3"/>
      <charset val="134"/>
    </font>
    <font>
      <b/>
      <sz val="18"/>
      <name val="方正小标宋简体"/>
      <family val="4"/>
      <charset val="134"/>
    </font>
    <font>
      <sz val="10"/>
      <color rgb="FF000000"/>
      <name val="仿宋_GB2312"/>
      <family val="3"/>
      <charset val="134"/>
    </font>
    <font>
      <sz val="10"/>
      <name val="宋体"/>
      <family val="3"/>
      <charset val="134"/>
    </font>
  </fonts>
  <fills count="4">
    <fill>
      <patternFill patternType="none"/>
    </fill>
    <fill>
      <patternFill patternType="gray125"/>
    </fill>
    <fill>
      <patternFill patternType="solid">
        <fgColor rgb="FFFFFFFF"/>
        <bgColor indexed="64"/>
      </patternFill>
    </fill>
    <fill>
      <patternFill patternType="solid">
        <fgColor rgb="FFF9FBFA"/>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bottom style="medium">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alignment vertical="center"/>
    </xf>
    <xf numFmtId="9" fontId="33" fillId="0" borderId="0" applyFont="0" applyFill="0" applyBorder="0" applyAlignment="0" applyProtection="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26" fillId="0" borderId="0">
      <alignment vertical="center"/>
    </xf>
  </cellStyleXfs>
  <cellXfs count="21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0" fontId="0" fillId="2" borderId="0" xfId="0" applyFill="1">
      <alignment vertical="center"/>
    </xf>
    <xf numFmtId="0" fontId="0" fillId="2" borderId="0" xfId="0" applyFill="1" applyAlignment="1">
      <alignment horizontal="center" vertical="center"/>
    </xf>
    <xf numFmtId="177" fontId="0" fillId="2" borderId="0" xfId="0" applyNumberFormat="1" applyFill="1" applyAlignment="1">
      <alignment horizontal="center" vertical="center"/>
    </xf>
    <xf numFmtId="0" fontId="6" fillId="2" borderId="1" xfId="3" applyFont="1" applyFill="1" applyBorder="1" applyAlignment="1">
      <alignment horizontal="center" vertical="center" wrapText="1"/>
    </xf>
    <xf numFmtId="0" fontId="7" fillId="2" borderId="1" xfId="3" applyFont="1" applyFill="1" applyBorder="1" applyAlignment="1">
      <alignment horizontal="center" vertical="center" wrapText="1"/>
    </xf>
    <xf numFmtId="177" fontId="7" fillId="2" borderId="1" xfId="3" applyNumberFormat="1" applyFont="1" applyFill="1" applyBorder="1" applyAlignment="1">
      <alignment horizontal="center" vertical="center" wrapText="1"/>
    </xf>
    <xf numFmtId="0" fontId="7" fillId="2" borderId="1" xfId="3" applyFont="1" applyFill="1" applyBorder="1" applyAlignment="1" applyProtection="1">
      <alignment vertical="center" wrapText="1"/>
    </xf>
    <xf numFmtId="0" fontId="8" fillId="2" borderId="1" xfId="3" applyFont="1" applyFill="1" applyBorder="1" applyAlignment="1">
      <alignment horizontal="center" vertical="center" wrapText="1"/>
    </xf>
    <xf numFmtId="177" fontId="8" fillId="2" borderId="1" xfId="3" applyNumberFormat="1" applyFont="1" applyFill="1" applyBorder="1" applyAlignment="1">
      <alignment horizontal="center" vertical="center" wrapText="1"/>
    </xf>
    <xf numFmtId="0" fontId="7" fillId="2" borderId="1" xfId="3" applyFont="1" applyFill="1" applyBorder="1" applyAlignment="1" applyProtection="1">
      <alignment horizontal="left" vertical="center" wrapText="1"/>
    </xf>
    <xf numFmtId="0" fontId="9" fillId="2" borderId="1" xfId="3" applyFont="1" applyFill="1" applyBorder="1" applyAlignment="1">
      <alignment horizontal="justify" vertical="center" wrapText="1"/>
    </xf>
    <xf numFmtId="9" fontId="8" fillId="2" borderId="1" xfId="3" applyNumberFormat="1" applyFont="1" applyFill="1" applyBorder="1" applyAlignment="1">
      <alignment horizontal="center" vertical="center" wrapText="1"/>
    </xf>
    <xf numFmtId="0" fontId="6" fillId="2" borderId="1" xfId="3" applyFont="1" applyFill="1" applyBorder="1" applyAlignment="1">
      <alignment horizontal="justify" vertical="center" wrapText="1"/>
    </xf>
    <xf numFmtId="0" fontId="11" fillId="2" borderId="0" xfId="2" applyFont="1" applyFill="1" applyBorder="1" applyAlignment="1"/>
    <xf numFmtId="0" fontId="12" fillId="2" borderId="1" xfId="3" applyFont="1" applyFill="1" applyBorder="1" applyAlignment="1">
      <alignment horizontal="center" vertical="center"/>
    </xf>
    <xf numFmtId="43" fontId="12" fillId="2" borderId="1" xfId="4" applyNumberFormat="1" applyFont="1" applyFill="1" applyBorder="1" applyAlignment="1">
      <alignment horizontal="center" vertical="center"/>
    </xf>
    <xf numFmtId="43" fontId="7" fillId="2" borderId="1" xfId="4" applyNumberFormat="1" applyFont="1" applyFill="1" applyBorder="1" applyAlignment="1">
      <alignment horizontal="center" vertical="center"/>
    </xf>
    <xf numFmtId="0" fontId="14" fillId="2" borderId="1" xfId="0" applyFont="1" applyFill="1" applyBorder="1" applyAlignment="1">
      <alignment horizontal="center" vertical="center"/>
    </xf>
    <xf numFmtId="0" fontId="8" fillId="2" borderId="1" xfId="3" applyFont="1" applyFill="1" applyBorder="1" applyAlignment="1">
      <alignment horizontal="left" vertical="center"/>
    </xf>
    <xf numFmtId="176" fontId="8" fillId="2" borderId="1" xfId="3" applyNumberFormat="1" applyFont="1" applyFill="1" applyBorder="1" applyAlignment="1">
      <alignment horizontal="center" vertical="center"/>
    </xf>
    <xf numFmtId="0" fontId="8" fillId="2" borderId="1" xfId="3" applyFont="1" applyFill="1" applyBorder="1">
      <alignment vertical="center"/>
    </xf>
    <xf numFmtId="0" fontId="0" fillId="2" borderId="1" xfId="0" applyFill="1" applyBorder="1">
      <alignment vertical="center"/>
    </xf>
    <xf numFmtId="0" fontId="11" fillId="2" borderId="1" xfId="3" applyFont="1" applyFill="1" applyBorder="1" applyAlignment="1">
      <alignment horizontal="left" vertical="center"/>
    </xf>
    <xf numFmtId="0" fontId="0" fillId="3" borderId="0" xfId="0" applyFill="1">
      <alignment vertical="center"/>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2" xfId="2" applyFont="1" applyFill="1" applyBorder="1" applyAlignment="1">
      <alignment horizontal="center" vertical="center" wrapText="1"/>
    </xf>
    <xf numFmtId="0" fontId="8" fillId="3" borderId="0" xfId="2" applyFont="1" applyFill="1">
      <alignment vertical="center"/>
    </xf>
    <xf numFmtId="0" fontId="11" fillId="3" borderId="1" xfId="2" applyFont="1" applyFill="1" applyBorder="1" applyAlignment="1" applyProtection="1">
      <alignment horizontal="left" vertical="center"/>
    </xf>
    <xf numFmtId="0" fontId="8" fillId="3" borderId="1" xfId="2" applyFont="1" applyFill="1" applyBorder="1" applyAlignment="1">
      <alignment horizontal="center" vertical="center"/>
    </xf>
    <xf numFmtId="178" fontId="8" fillId="3" borderId="1" xfId="2" applyNumberFormat="1" applyFont="1" applyFill="1" applyBorder="1" applyAlignment="1">
      <alignment horizontal="center" vertical="center"/>
    </xf>
    <xf numFmtId="0" fontId="8" fillId="3" borderId="1" xfId="2" applyFont="1" applyFill="1" applyBorder="1" applyAlignment="1" applyProtection="1">
      <alignment horizontal="left" vertical="center" indent="2"/>
    </xf>
    <xf numFmtId="176" fontId="9" fillId="3" borderId="1" xfId="2" applyNumberFormat="1" applyFont="1" applyFill="1" applyBorder="1" applyAlignment="1">
      <alignment horizontal="left" vertical="center"/>
    </xf>
    <xf numFmtId="176" fontId="15" fillId="3" borderId="1" xfId="2" applyNumberFormat="1" applyFont="1" applyFill="1" applyBorder="1" applyAlignment="1">
      <alignment horizontal="left" vertical="center"/>
    </xf>
    <xf numFmtId="0" fontId="8" fillId="3" borderId="2" xfId="2" applyFont="1" applyFill="1" applyBorder="1" applyAlignment="1">
      <alignment horizontal="center" vertical="center"/>
    </xf>
    <xf numFmtId="0" fontId="8" fillId="3" borderId="1" xfId="2" applyFont="1" applyFill="1" applyBorder="1">
      <alignment vertical="center"/>
    </xf>
    <xf numFmtId="0" fontId="12" fillId="0" borderId="1" xfId="2" applyFont="1" applyFill="1" applyBorder="1" applyAlignment="1">
      <alignment horizontal="center" vertical="center" wrapText="1"/>
    </xf>
    <xf numFmtId="0" fontId="8" fillId="0" borderId="1" xfId="2" applyFont="1" applyBorder="1" applyAlignment="1">
      <alignment horizontal="center" vertical="center"/>
    </xf>
    <xf numFmtId="178" fontId="8" fillId="0" borderId="1" xfId="2" applyNumberFormat="1" applyFont="1" applyBorder="1" applyAlignment="1">
      <alignment horizontal="center" vertical="center"/>
    </xf>
    <xf numFmtId="0" fontId="7" fillId="0" borderId="1" xfId="2" applyFont="1" applyBorder="1">
      <alignment vertical="center"/>
    </xf>
    <xf numFmtId="0" fontId="0" fillId="0" borderId="0" xfId="0" applyAlignment="1">
      <alignment horizontal="center" vertical="center"/>
    </xf>
    <xf numFmtId="0" fontId="16" fillId="0" borderId="0" xfId="2" applyFont="1" applyFill="1" applyAlignment="1" applyProtection="1">
      <alignment vertical="center" wrapText="1"/>
    </xf>
    <xf numFmtId="0" fontId="11" fillId="0" borderId="0" xfId="2" applyAlignment="1">
      <alignment horizontal="center" vertical="center"/>
    </xf>
    <xf numFmtId="0" fontId="13" fillId="0" borderId="6" xfId="2" applyFont="1" applyFill="1" applyBorder="1" applyAlignment="1" applyProtection="1">
      <alignment horizontal="center" vertical="center" wrapText="1"/>
    </xf>
    <xf numFmtId="0" fontId="7" fillId="0" borderId="1" xfId="2" applyFont="1" applyFill="1" applyBorder="1" applyAlignment="1" applyProtection="1">
      <alignment horizontal="center" vertical="center" wrapText="1"/>
    </xf>
    <xf numFmtId="0" fontId="13" fillId="0" borderId="6" xfId="2" applyFont="1" applyFill="1" applyBorder="1" applyAlignment="1" applyProtection="1">
      <alignment horizontal="left" vertical="center"/>
    </xf>
    <xf numFmtId="0" fontId="8" fillId="0" borderId="1" xfId="2" applyFont="1" applyFill="1" applyBorder="1" applyAlignment="1" applyProtection="1">
      <alignment horizontal="center" vertical="center" wrapText="1"/>
    </xf>
    <xf numFmtId="0" fontId="8" fillId="0" borderId="6" xfId="2" applyFont="1" applyFill="1" applyBorder="1" applyAlignment="1" applyProtection="1">
      <alignment vertical="center"/>
    </xf>
    <xf numFmtId="178" fontId="8" fillId="0" borderId="1" xfId="2" applyNumberFormat="1" applyFont="1" applyFill="1" applyBorder="1" applyAlignment="1" applyProtection="1">
      <alignment horizontal="center" vertical="center" wrapText="1"/>
    </xf>
    <xf numFmtId="0" fontId="13" fillId="0" borderId="6" xfId="2" applyFont="1" applyFill="1" applyBorder="1" applyAlignment="1" applyProtection="1">
      <alignment vertical="center"/>
    </xf>
    <xf numFmtId="10" fontId="8" fillId="0" borderId="1" xfId="2" applyNumberFormat="1" applyFont="1" applyFill="1" applyBorder="1" applyAlignment="1" applyProtection="1">
      <alignment horizontal="center" vertical="center" wrapText="1"/>
    </xf>
    <xf numFmtId="9" fontId="8" fillId="0" borderId="1" xfId="1" applyNumberFormat="1" applyFont="1" applyFill="1" applyBorder="1" applyAlignment="1" applyProtection="1">
      <alignment horizontal="center" vertical="center" wrapText="1"/>
    </xf>
    <xf numFmtId="9" fontId="8" fillId="0" borderId="1" xfId="1" applyFont="1" applyFill="1" applyBorder="1" applyAlignment="1" applyProtection="1">
      <alignment horizontal="center" vertical="center" wrapText="1"/>
    </xf>
    <xf numFmtId="176" fontId="8" fillId="0" borderId="1" xfId="2" applyNumberFormat="1" applyFont="1" applyFill="1" applyBorder="1" applyAlignment="1" applyProtection="1">
      <alignment horizontal="center" vertical="center" wrapText="1"/>
    </xf>
    <xf numFmtId="179" fontId="8" fillId="0" borderId="1" xfId="2" applyNumberFormat="1" applyFont="1" applyFill="1" applyBorder="1" applyAlignment="1" applyProtection="1">
      <alignment horizontal="center" vertical="center" wrapText="1"/>
    </xf>
    <xf numFmtId="180" fontId="7" fillId="0" borderId="1" xfId="2" applyNumberFormat="1" applyFont="1" applyFill="1" applyBorder="1" applyAlignment="1" applyProtection="1">
      <alignment horizontal="center" vertical="center" wrapText="1"/>
    </xf>
    <xf numFmtId="180" fontId="8" fillId="0" borderId="1" xfId="2" applyNumberFormat="1" applyFont="1" applyFill="1" applyBorder="1" applyAlignment="1" applyProtection="1">
      <alignment horizontal="center" vertical="center" wrapText="1"/>
    </xf>
    <xf numFmtId="0" fontId="8" fillId="0" borderId="6" xfId="2" applyFont="1" applyFill="1" applyBorder="1" applyAlignment="1" applyProtection="1">
      <alignment horizontal="left" vertical="center"/>
    </xf>
    <xf numFmtId="0" fontId="14" fillId="3" borderId="0" xfId="0" applyFont="1" applyFill="1">
      <alignment vertical="center"/>
    </xf>
    <xf numFmtId="0" fontId="0" fillId="3" borderId="0" xfId="0" applyFill="1" applyAlignment="1">
      <alignment horizontal="center" vertical="center"/>
    </xf>
    <xf numFmtId="0" fontId="16" fillId="3" borderId="0" xfId="2" applyFont="1" applyFill="1">
      <alignment vertical="center"/>
    </xf>
    <xf numFmtId="0" fontId="11" fillId="3" borderId="0" xfId="2" applyFill="1" applyAlignment="1">
      <alignment horizontal="center" vertical="center"/>
    </xf>
    <xf numFmtId="0" fontId="8" fillId="3" borderId="0" xfId="2" applyFont="1" applyFill="1" applyAlignment="1">
      <alignment horizontal="center" vertical="center"/>
    </xf>
    <xf numFmtId="0" fontId="7" fillId="3" borderId="1" xfId="2" applyFont="1" applyFill="1" applyBorder="1" applyAlignment="1" applyProtection="1">
      <alignment horizontal="center" vertical="center" wrapText="1"/>
    </xf>
    <xf numFmtId="0" fontId="13" fillId="3" borderId="1" xfId="2" applyFont="1" applyFill="1" applyBorder="1" applyAlignment="1" applyProtection="1">
      <alignment vertical="center"/>
    </xf>
    <xf numFmtId="0" fontId="7" fillId="3" borderId="1" xfId="2" applyFont="1" applyFill="1" applyBorder="1" applyAlignment="1">
      <alignment horizontal="center" vertical="center"/>
    </xf>
    <xf numFmtId="0" fontId="8" fillId="3" borderId="1" xfId="2" applyFont="1" applyFill="1" applyBorder="1" applyAlignment="1" applyProtection="1">
      <alignment horizontal="left" vertical="center" indent="1"/>
    </xf>
    <xf numFmtId="49" fontId="18" fillId="3" borderId="1" xfId="2" applyNumberFormat="1" applyFont="1" applyFill="1" applyBorder="1" applyAlignment="1" applyProtection="1">
      <alignment horizontal="left" vertical="center"/>
    </xf>
    <xf numFmtId="49" fontId="9" fillId="3" borderId="1" xfId="2" applyNumberFormat="1" applyFont="1" applyFill="1" applyBorder="1" applyAlignment="1" applyProtection="1">
      <alignment horizontal="left" vertical="center"/>
    </xf>
    <xf numFmtId="49" fontId="15" fillId="3" borderId="1" xfId="2" applyNumberFormat="1" applyFont="1" applyFill="1" applyBorder="1" applyAlignment="1" applyProtection="1">
      <alignment horizontal="left" vertical="center"/>
    </xf>
    <xf numFmtId="49" fontId="19" fillId="3" borderId="1" xfId="2" applyNumberFormat="1" applyFont="1" applyFill="1" applyBorder="1" applyAlignment="1" applyProtection="1">
      <alignment horizontal="left" vertical="center"/>
    </xf>
    <xf numFmtId="0" fontId="13" fillId="3" borderId="1" xfId="2" applyFont="1" applyFill="1" applyBorder="1" applyAlignment="1" applyProtection="1">
      <alignment horizontal="left" vertical="center" wrapText="1"/>
    </xf>
    <xf numFmtId="0" fontId="7" fillId="3" borderId="1" xfId="2" applyFont="1" applyFill="1" applyBorder="1" applyAlignment="1" applyProtection="1">
      <alignment horizontal="left" vertical="center" wrapText="1"/>
    </xf>
    <xf numFmtId="0" fontId="13" fillId="3" borderId="1" xfId="2" applyFont="1" applyFill="1" applyBorder="1">
      <alignment vertical="center"/>
    </xf>
    <xf numFmtId="0" fontId="20" fillId="0" borderId="0" xfId="3" applyFont="1" applyFill="1" applyAlignment="1" applyProtection="1">
      <alignment vertical="center" wrapText="1"/>
    </xf>
    <xf numFmtId="0" fontId="11" fillId="0" borderId="0" xfId="3" applyAlignment="1">
      <alignment horizontal="center" vertical="center"/>
    </xf>
    <xf numFmtId="0" fontId="21" fillId="0" borderId="5" xfId="3" applyFont="1" applyFill="1" applyBorder="1" applyAlignment="1" applyProtection="1">
      <alignment vertical="center" wrapText="1"/>
    </xf>
    <xf numFmtId="0" fontId="21" fillId="0" borderId="5" xfId="3" applyFont="1" applyFill="1" applyBorder="1" applyAlignment="1" applyProtection="1">
      <alignment horizontal="center" vertical="center" wrapText="1"/>
    </xf>
    <xf numFmtId="0" fontId="13" fillId="0" borderId="1"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180" fontId="11" fillId="0" borderId="1" xfId="3" applyNumberFormat="1"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22" fillId="0" borderId="1" xfId="3" applyFont="1" applyFill="1" applyBorder="1" applyAlignment="1" applyProtection="1">
      <alignment horizontal="left" vertical="center" wrapText="1"/>
    </xf>
    <xf numFmtId="0" fontId="11" fillId="0" borderId="1" xfId="3" applyFont="1" applyFill="1" applyBorder="1" applyAlignment="1" applyProtection="1">
      <alignment vertical="center"/>
    </xf>
    <xf numFmtId="180" fontId="11" fillId="0" borderId="1" xfId="3" applyNumberFormat="1" applyFont="1" applyFill="1" applyBorder="1" applyAlignment="1" applyProtection="1">
      <alignment horizontal="center" vertical="center"/>
    </xf>
    <xf numFmtId="180" fontId="11" fillId="0" borderId="1" xfId="3" applyNumberFormat="1" applyFont="1" applyFill="1" applyBorder="1" applyAlignment="1" applyProtection="1">
      <alignment vertical="center"/>
    </xf>
    <xf numFmtId="0" fontId="13" fillId="0" borderId="1" xfId="3" applyFont="1" applyFill="1" applyBorder="1" applyAlignment="1" applyProtection="1">
      <alignment vertical="center"/>
    </xf>
    <xf numFmtId="0" fontId="13" fillId="0" borderId="1" xfId="3" applyFont="1" applyFill="1" applyBorder="1" applyAlignment="1" applyProtection="1">
      <alignment horizontal="center" vertical="center"/>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indent="1"/>
    </xf>
    <xf numFmtId="0" fontId="16" fillId="0" borderId="0" xfId="3" applyFont="1">
      <alignment vertical="center"/>
    </xf>
    <xf numFmtId="0" fontId="23" fillId="0" borderId="1" xfId="3" applyFont="1" applyFill="1" applyBorder="1" applyAlignment="1">
      <alignment horizontal="center" vertical="center" wrapText="1"/>
    </xf>
    <xf numFmtId="0" fontId="7" fillId="0" borderId="1" xfId="3" applyFont="1" applyBorder="1" applyAlignment="1">
      <alignment horizontal="center" vertical="center"/>
    </xf>
    <xf numFmtId="0" fontId="23" fillId="0" borderId="1" xfId="3" applyFont="1" applyFill="1" applyBorder="1" applyAlignment="1">
      <alignment horizontal="left" vertical="center" wrapText="1"/>
    </xf>
    <xf numFmtId="0" fontId="8" fillId="0" borderId="1" xfId="3" applyFont="1" applyBorder="1" applyAlignment="1">
      <alignment horizontal="center" vertical="center"/>
    </xf>
    <xf numFmtId="0" fontId="18" fillId="0" borderId="1" xfId="3" applyFont="1" applyFill="1" applyBorder="1" applyAlignment="1">
      <alignment horizontal="left" vertical="center" wrapText="1"/>
    </xf>
    <xf numFmtId="0" fontId="18" fillId="0" borderId="1" xfId="3" applyFont="1" applyFill="1" applyBorder="1" applyAlignment="1">
      <alignment horizontal="center" vertical="center" wrapText="1"/>
    </xf>
    <xf numFmtId="0" fontId="9" fillId="0" borderId="1" xfId="3" applyFont="1" applyFill="1" applyBorder="1" applyAlignment="1">
      <alignment horizontal="left" vertical="center" wrapText="1"/>
    </xf>
    <xf numFmtId="0" fontId="9" fillId="0" borderId="1" xfId="3" applyFont="1" applyFill="1" applyBorder="1" applyAlignment="1">
      <alignment horizontal="center" vertical="center" wrapText="1"/>
    </xf>
    <xf numFmtId="178" fontId="8" fillId="0" borderId="1" xfId="3" applyNumberFormat="1" applyFont="1" applyBorder="1" applyAlignment="1">
      <alignment horizontal="center" vertical="center"/>
    </xf>
    <xf numFmtId="0" fontId="7" fillId="0" borderId="1" xfId="3" applyFont="1" applyBorder="1" applyAlignment="1">
      <alignment horizontal="left" vertical="center"/>
    </xf>
    <xf numFmtId="0" fontId="12" fillId="0" borderId="1" xfId="3" applyFont="1" applyFill="1" applyBorder="1" applyAlignment="1">
      <alignment horizontal="left" vertical="center"/>
    </xf>
    <xf numFmtId="0" fontId="12" fillId="0" borderId="1" xfId="3" applyFont="1" applyFill="1" applyBorder="1" applyAlignment="1">
      <alignment horizontal="center" vertical="center"/>
    </xf>
    <xf numFmtId="0" fontId="8" fillId="0" borderId="1" xfId="3" applyFont="1" applyFill="1" applyBorder="1" applyAlignment="1" applyProtection="1">
      <alignment horizontal="left" vertical="center" indent="1"/>
    </xf>
    <xf numFmtId="0" fontId="8" fillId="0" borderId="1" xfId="3" applyFont="1" applyFill="1" applyBorder="1" applyAlignment="1" applyProtection="1">
      <alignment horizontal="center" vertical="center"/>
    </xf>
    <xf numFmtId="0" fontId="8" fillId="0" borderId="1" xfId="3" applyFont="1" applyFill="1" applyBorder="1" applyAlignment="1" applyProtection="1">
      <alignment horizontal="left" vertical="center" indent="2"/>
    </xf>
    <xf numFmtId="176" fontId="9" fillId="0" borderId="1" xfId="3" applyNumberFormat="1" applyFont="1" applyFill="1" applyBorder="1" applyAlignment="1">
      <alignment horizontal="left" vertical="center"/>
    </xf>
    <xf numFmtId="176" fontId="9" fillId="0" borderId="1" xfId="3" applyNumberFormat="1" applyFont="1" applyFill="1" applyBorder="1" applyAlignment="1">
      <alignment horizontal="center" vertical="center"/>
    </xf>
    <xf numFmtId="176" fontId="15" fillId="0" borderId="1" xfId="3" applyNumberFormat="1" applyFont="1" applyFill="1" applyBorder="1" applyAlignment="1">
      <alignment horizontal="left" vertical="center"/>
    </xf>
    <xf numFmtId="176" fontId="15" fillId="0" borderId="1" xfId="3" applyNumberFormat="1" applyFont="1" applyFill="1" applyBorder="1" applyAlignment="1">
      <alignment horizontal="center" vertical="center"/>
    </xf>
    <xf numFmtId="0" fontId="8" fillId="0" borderId="1" xfId="3" applyFont="1" applyBorder="1">
      <alignment vertical="center"/>
    </xf>
    <xf numFmtId="0" fontId="7" fillId="0" borderId="1" xfId="3" applyFont="1" applyFill="1" applyBorder="1" applyAlignment="1" applyProtection="1">
      <alignment vertical="center" wrapText="1"/>
    </xf>
    <xf numFmtId="0" fontId="7" fillId="0" borderId="1" xfId="3" applyFont="1" applyFill="1" applyBorder="1" applyAlignment="1" applyProtection="1">
      <alignment horizontal="center" vertical="center" wrapText="1"/>
    </xf>
    <xf numFmtId="49" fontId="9" fillId="0" borderId="1" xfId="3" applyNumberFormat="1" applyFont="1" applyFill="1" applyBorder="1" applyAlignment="1" applyProtection="1">
      <alignment horizontal="left" vertical="center"/>
    </xf>
    <xf numFmtId="49" fontId="9" fillId="0" borderId="1" xfId="3" applyNumberFormat="1" applyFont="1" applyFill="1" applyBorder="1" applyAlignment="1" applyProtection="1">
      <alignment horizontal="center" vertical="center"/>
    </xf>
    <xf numFmtId="0" fontId="16" fillId="0" borderId="0" xfId="2" applyFont="1" applyBorder="1" applyAlignment="1">
      <alignment horizontal="justify" wrapText="1"/>
    </xf>
    <xf numFmtId="0" fontId="11" fillId="0" borderId="7" xfId="2" applyFont="1" applyBorder="1" applyAlignment="1">
      <alignment horizontal="justify" wrapText="1"/>
    </xf>
    <xf numFmtId="0" fontId="25" fillId="0" borderId="7" xfId="2" applyFont="1" applyBorder="1" applyAlignment="1">
      <alignment horizontal="justify" wrapText="1"/>
    </xf>
    <xf numFmtId="57" fontId="25" fillId="0" borderId="8" xfId="2" applyNumberFormat="1" applyFont="1" applyBorder="1" applyAlignment="1">
      <alignment horizontal="justify" wrapText="1"/>
    </xf>
    <xf numFmtId="178" fontId="8" fillId="3" borderId="1" xfId="2" applyNumberFormat="1" applyFont="1" applyFill="1" applyBorder="1" applyAlignment="1">
      <alignment horizontal="center" vertical="center"/>
    </xf>
    <xf numFmtId="0" fontId="8" fillId="3" borderId="1" xfId="2" applyFont="1" applyFill="1" applyBorder="1" applyAlignment="1">
      <alignment horizontal="center" vertical="center"/>
    </xf>
    <xf numFmtId="0" fontId="8" fillId="3" borderId="2" xfId="2" applyFont="1" applyFill="1" applyBorder="1" applyAlignment="1">
      <alignment horizontal="center" vertical="center"/>
    </xf>
    <xf numFmtId="0" fontId="13" fillId="0" borderId="1" xfId="2" applyFont="1" applyBorder="1" applyAlignment="1">
      <alignment horizontal="center" vertical="center"/>
    </xf>
    <xf numFmtId="176" fontId="0" fillId="2" borderId="1" xfId="0" applyNumberFormat="1" applyFill="1" applyBorder="1">
      <alignment vertical="center"/>
    </xf>
    <xf numFmtId="0" fontId="26" fillId="2" borderId="1" xfId="0" applyFont="1" applyFill="1" applyBorder="1">
      <alignment vertical="center"/>
    </xf>
    <xf numFmtId="0" fontId="8" fillId="0" borderId="6" xfId="2" applyFont="1" applyFill="1" applyBorder="1" applyAlignment="1" applyProtection="1">
      <alignment vertical="center"/>
    </xf>
    <xf numFmtId="0" fontId="11" fillId="0" borderId="6" xfId="2" applyFont="1" applyFill="1" applyBorder="1" applyAlignment="1" applyProtection="1">
      <alignment vertical="center"/>
    </xf>
    <xf numFmtId="0" fontId="20" fillId="0" borderId="0" xfId="3" applyFont="1" applyFill="1" applyAlignment="1" applyProtection="1">
      <alignment vertical="center" wrapText="1"/>
    </xf>
    <xf numFmtId="0" fontId="21" fillId="0" borderId="5" xfId="3" applyFont="1" applyFill="1" applyBorder="1" applyAlignment="1" applyProtection="1">
      <alignment vertical="center" wrapText="1"/>
    </xf>
    <xf numFmtId="0" fontId="13" fillId="0" borderId="1"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1" fillId="0" borderId="1" xfId="3" applyFont="1" applyFill="1" applyBorder="1" applyAlignment="1" applyProtection="1">
      <alignment horizontal="left" vertical="center" wrapText="1"/>
    </xf>
    <xf numFmtId="0" fontId="22" fillId="0" borderId="1" xfId="3" applyFont="1" applyFill="1" applyBorder="1" applyAlignment="1" applyProtection="1">
      <alignment horizontal="left" vertical="center" wrapText="1"/>
    </xf>
    <xf numFmtId="0" fontId="13" fillId="0" borderId="1" xfId="3" applyFont="1" applyFill="1" applyBorder="1" applyAlignment="1" applyProtection="1">
      <alignment vertical="center"/>
    </xf>
    <xf numFmtId="0" fontId="11" fillId="0" borderId="0" xfId="3" applyAlignment="1">
      <alignment horizontal="center" vertical="center"/>
    </xf>
    <xf numFmtId="180" fontId="13" fillId="0" borderId="1" xfId="3" applyNumberFormat="1" applyFont="1" applyFill="1" applyBorder="1" applyAlignment="1" applyProtection="1">
      <alignment vertical="center"/>
    </xf>
    <xf numFmtId="0" fontId="26" fillId="2" borderId="0" xfId="0" applyFont="1" applyFill="1">
      <alignment vertical="center"/>
    </xf>
    <xf numFmtId="0" fontId="15" fillId="2" borderId="1" xfId="3" applyFont="1" applyFill="1" applyBorder="1" applyAlignment="1">
      <alignment horizontal="justify" vertical="center" wrapText="1"/>
    </xf>
    <xf numFmtId="0" fontId="37" fillId="2" borderId="1" xfId="3" applyFont="1" applyFill="1" applyBorder="1" applyAlignment="1">
      <alignment horizontal="justify" vertical="center" wrapText="1"/>
    </xf>
    <xf numFmtId="0" fontId="13" fillId="0" borderId="1" xfId="3" applyFont="1" applyFill="1" applyBorder="1" applyAlignment="1" applyProtection="1">
      <alignment horizontal="left" vertical="center" wrapText="1"/>
    </xf>
    <xf numFmtId="180" fontId="13" fillId="0" borderId="1" xfId="3" applyNumberFormat="1" applyFont="1" applyFill="1" applyBorder="1" applyAlignment="1" applyProtection="1">
      <alignment horizontal="center" vertical="center" wrapText="1"/>
    </xf>
    <xf numFmtId="179" fontId="13" fillId="0" borderId="1" xfId="3" applyNumberFormat="1" applyFont="1" applyFill="1" applyBorder="1" applyAlignment="1" applyProtection="1">
      <alignment horizontal="center" vertical="center"/>
    </xf>
    <xf numFmtId="0" fontId="13" fillId="0" borderId="6" xfId="3" applyFont="1" applyFill="1" applyBorder="1" applyAlignment="1" applyProtection="1">
      <alignment vertical="center"/>
    </xf>
    <xf numFmtId="0" fontId="38" fillId="2" borderId="1" xfId="3" applyFont="1" applyFill="1" applyBorder="1" applyAlignment="1">
      <alignment horizontal="justify" vertical="center" wrapText="1"/>
    </xf>
    <xf numFmtId="0" fontId="11" fillId="2" borderId="1" xfId="3" applyFont="1" applyFill="1" applyBorder="1" applyAlignment="1">
      <alignment horizontal="center" vertical="center" wrapText="1"/>
    </xf>
    <xf numFmtId="181" fontId="11" fillId="2" borderId="1" xfId="3" applyNumberFormat="1" applyFont="1" applyFill="1" applyBorder="1" applyAlignment="1">
      <alignment horizontal="center" vertical="center" wrapText="1"/>
    </xf>
    <xf numFmtId="181" fontId="8" fillId="2" borderId="1" xfId="3" applyNumberFormat="1" applyFont="1" applyFill="1" applyBorder="1" applyAlignment="1">
      <alignment horizontal="center" vertical="center" wrapText="1"/>
    </xf>
    <xf numFmtId="179" fontId="0" fillId="2" borderId="1" xfId="0" applyNumberFormat="1" applyFill="1" applyBorder="1">
      <alignment vertical="center"/>
    </xf>
    <xf numFmtId="0" fontId="8" fillId="3" borderId="1" xfId="2" applyFont="1" applyFill="1" applyBorder="1" applyAlignment="1">
      <alignment horizontal="center" vertical="center"/>
    </xf>
    <xf numFmtId="0" fontId="11" fillId="0" borderId="6" xfId="2" applyFont="1" applyFill="1" applyBorder="1" applyAlignment="1" applyProtection="1">
      <alignment vertical="center" wrapText="1"/>
    </xf>
    <xf numFmtId="0" fontId="26" fillId="0" borderId="0" xfId="6" applyBorder="1">
      <alignment vertical="center"/>
    </xf>
    <xf numFmtId="0" fontId="35" fillId="0" borderId="0" xfId="2" applyFont="1" applyFill="1" applyBorder="1" applyAlignment="1">
      <alignment horizontal="center" vertical="center" wrapText="1"/>
    </xf>
    <xf numFmtId="0" fontId="14" fillId="0" borderId="0" xfId="6" applyFont="1" applyBorder="1">
      <alignment vertical="center"/>
    </xf>
    <xf numFmtId="0" fontId="13" fillId="0" borderId="14" xfId="3" applyFont="1" applyFill="1" applyBorder="1" applyAlignment="1" applyProtection="1">
      <alignment horizontal="center" vertical="center"/>
    </xf>
    <xf numFmtId="0" fontId="13" fillId="0" borderId="15" xfId="3" applyFont="1" applyFill="1" applyBorder="1" applyAlignment="1" applyProtection="1">
      <alignment horizontal="center" vertical="center"/>
    </xf>
    <xf numFmtId="182" fontId="13" fillId="0" borderId="1" xfId="3" applyNumberFormat="1" applyFont="1" applyFill="1" applyBorder="1" applyAlignment="1" applyProtection="1">
      <alignment horizontal="center" vertical="center" wrapText="1"/>
    </xf>
    <xf numFmtId="182" fontId="14" fillId="0" borderId="1" xfId="0" applyNumberFormat="1" applyFont="1" applyBorder="1" applyAlignment="1">
      <alignment horizontal="center" vertical="center"/>
    </xf>
    <xf numFmtId="0" fontId="10" fillId="0" borderId="0" xfId="2" applyFont="1" applyFill="1" applyAlignment="1" applyProtection="1">
      <alignment horizontal="center" vertical="center"/>
    </xf>
    <xf numFmtId="0" fontId="24" fillId="0" borderId="0" xfId="2" applyFont="1" applyAlignment="1">
      <alignment horizontal="center" vertical="center" wrapText="1"/>
    </xf>
    <xf numFmtId="0" fontId="10" fillId="0" borderId="0" xfId="3" applyFont="1" applyFill="1" applyAlignment="1" applyProtection="1">
      <alignment horizontal="center" vertical="center"/>
    </xf>
    <xf numFmtId="0" fontId="13" fillId="0" borderId="0" xfId="3" applyFont="1" applyFill="1" applyAlignment="1" applyProtection="1">
      <alignment horizontal="left" vertical="center"/>
    </xf>
    <xf numFmtId="0" fontId="7" fillId="0" borderId="0" xfId="3" applyFont="1" applyFill="1" applyAlignment="1" applyProtection="1">
      <alignment horizontal="center" vertical="center"/>
    </xf>
    <xf numFmtId="0" fontId="8" fillId="0" borderId="2" xfId="3" applyFont="1" applyBorder="1" applyAlignment="1">
      <alignment horizontal="left" vertical="center" wrapText="1"/>
    </xf>
    <xf numFmtId="0" fontId="8" fillId="0" borderId="3" xfId="3" applyFont="1" applyBorder="1" applyAlignment="1">
      <alignment horizontal="left" vertical="center" wrapText="1"/>
    </xf>
    <xf numFmtId="0" fontId="8" fillId="0" borderId="4" xfId="3" applyFont="1" applyBorder="1" applyAlignment="1">
      <alignment horizontal="left" vertical="center" wrapText="1"/>
    </xf>
    <xf numFmtId="0" fontId="8" fillId="0" borderId="1" xfId="3" applyFont="1" applyBorder="1" applyAlignment="1">
      <alignment horizontal="center" vertical="center" wrapText="1"/>
    </xf>
    <xf numFmtId="0" fontId="10" fillId="0" borderId="0" xfId="3" applyFont="1" applyFill="1" applyAlignment="1" applyProtection="1">
      <alignment horizontal="center" vertical="center" wrapText="1"/>
    </xf>
    <xf numFmtId="0" fontId="10" fillId="3" borderId="0" xfId="2" applyFont="1" applyFill="1" applyAlignment="1">
      <alignment horizontal="center" vertical="center"/>
    </xf>
    <xf numFmtId="0" fontId="10" fillId="0" borderId="0" xfId="2" applyFont="1" applyFill="1" applyAlignment="1" applyProtection="1">
      <alignment horizontal="center" vertical="center" wrapText="1"/>
    </xf>
    <xf numFmtId="0" fontId="17" fillId="0" borderId="5" xfId="2" applyFont="1" applyFill="1" applyBorder="1" applyAlignment="1" applyProtection="1">
      <alignment horizontal="left" vertical="center" wrapText="1"/>
    </xf>
    <xf numFmtId="0" fontId="17" fillId="0" borderId="5" xfId="2" applyFont="1" applyFill="1" applyBorder="1" applyAlignment="1" applyProtection="1">
      <alignment horizontal="center" vertical="center" wrapText="1"/>
    </xf>
    <xf numFmtId="180" fontId="8" fillId="0" borderId="6" xfId="2" applyNumberFormat="1" applyFont="1" applyFill="1" applyBorder="1" applyAlignment="1" applyProtection="1">
      <alignment horizontal="center" vertical="center" wrapText="1"/>
    </xf>
    <xf numFmtId="180" fontId="8" fillId="0" borderId="14" xfId="2" applyNumberFormat="1" applyFont="1" applyFill="1" applyBorder="1" applyAlignment="1" applyProtection="1">
      <alignment horizontal="center" vertical="center" wrapText="1"/>
    </xf>
    <xf numFmtId="180" fontId="8" fillId="0" borderId="15" xfId="2" applyNumberFormat="1" applyFont="1" applyFill="1" applyBorder="1" applyAlignment="1" applyProtection="1">
      <alignment horizontal="center" vertical="center" wrapText="1"/>
    </xf>
    <xf numFmtId="0" fontId="10" fillId="0" borderId="0" xfId="2" applyFont="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26" fillId="0" borderId="9"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36" fillId="0" borderId="0" xfId="6" applyFont="1" applyBorder="1" applyAlignment="1">
      <alignment horizontal="center" vertical="center"/>
    </xf>
    <xf numFmtId="0" fontId="26" fillId="0" borderId="0" xfId="6" applyBorder="1" applyAlignment="1">
      <alignment horizontal="center" vertical="center"/>
    </xf>
    <xf numFmtId="178" fontId="8" fillId="3" borderId="1" xfId="2" applyNumberFormat="1" applyFont="1" applyFill="1" applyBorder="1" applyAlignment="1">
      <alignment horizontal="center" vertical="center"/>
    </xf>
    <xf numFmtId="0" fontId="8" fillId="3" borderId="1" xfId="2" applyFont="1" applyFill="1" applyBorder="1" applyAlignment="1">
      <alignment horizontal="center" vertical="center"/>
    </xf>
    <xf numFmtId="0" fontId="8" fillId="3" borderId="2" xfId="2" applyFont="1" applyFill="1" applyBorder="1" applyAlignment="1">
      <alignment horizontal="center" vertical="center"/>
    </xf>
    <xf numFmtId="0" fontId="8" fillId="3" borderId="3" xfId="2" applyFont="1" applyFill="1" applyBorder="1" applyAlignment="1">
      <alignment horizontal="center" vertical="center"/>
    </xf>
    <xf numFmtId="0" fontId="8" fillId="3" borderId="4" xfId="2" applyFont="1" applyFill="1" applyBorder="1" applyAlignment="1">
      <alignment horizontal="center" vertical="center"/>
    </xf>
    <xf numFmtId="0" fontId="39" fillId="3" borderId="0" xfId="2" applyFont="1" applyFill="1" applyAlignment="1">
      <alignment horizontal="center" vertical="center"/>
    </xf>
    <xf numFmtId="0" fontId="10" fillId="2" borderId="0" xfId="2" applyFont="1" applyFill="1" applyBorder="1" applyAlignment="1">
      <alignment horizontal="center" vertical="center"/>
    </xf>
    <xf numFmtId="0" fontId="0" fillId="2" borderId="10" xfId="0" applyFill="1" applyBorder="1" applyAlignment="1">
      <alignment vertical="center" wrapText="1"/>
    </xf>
    <xf numFmtId="177" fontId="0" fillId="2" borderId="10" xfId="0" applyNumberFormat="1" applyFill="1" applyBorder="1" applyAlignment="1">
      <alignment vertical="center" wrapText="1"/>
    </xf>
    <xf numFmtId="0" fontId="0" fillId="2" borderId="0" xfId="0" applyFill="1" applyAlignment="1">
      <alignment vertical="center" wrapText="1"/>
    </xf>
    <xf numFmtId="177" fontId="0" fillId="2" borderId="0" xfId="0" applyNumberFormat="1" applyFill="1" applyAlignment="1">
      <alignment vertical="center" wrapText="1"/>
    </xf>
    <xf numFmtId="0" fontId="5" fillId="2" borderId="0" xfId="3" applyFont="1" applyFill="1" applyAlignment="1">
      <alignment horizontal="center" vertical="center" wrapText="1"/>
    </xf>
    <xf numFmtId="177" fontId="5" fillId="2" borderId="0" xfId="3" applyNumberFormat="1" applyFont="1" applyFill="1" applyAlignment="1">
      <alignment horizontal="center" vertical="center" wrapText="1"/>
    </xf>
    <xf numFmtId="0" fontId="13" fillId="2" borderId="6" xfId="3" applyFont="1" applyFill="1" applyBorder="1" applyAlignment="1" applyProtection="1">
      <alignment horizontal="center" vertical="center" wrapText="1"/>
    </xf>
    <xf numFmtId="0" fontId="7" fillId="2" borderId="14" xfId="3" applyFont="1" applyFill="1" applyBorder="1" applyAlignment="1" applyProtection="1">
      <alignment horizontal="center" vertical="center" wrapText="1"/>
    </xf>
    <xf numFmtId="0" fontId="7" fillId="2" borderId="15" xfId="3" applyFont="1" applyFill="1" applyBorder="1" applyAlignment="1" applyProtection="1">
      <alignment horizontal="center" vertical="center" wrapText="1"/>
    </xf>
    <xf numFmtId="0" fontId="6" fillId="2" borderId="6" xfId="3" applyFont="1" applyFill="1" applyBorder="1" applyAlignment="1">
      <alignment horizontal="center" vertical="center" wrapText="1"/>
    </xf>
    <xf numFmtId="0" fontId="6" fillId="2" borderId="14" xfId="3" applyFont="1" applyFill="1" applyBorder="1" applyAlignment="1">
      <alignment horizontal="center" vertical="center" wrapText="1"/>
    </xf>
    <xf numFmtId="0" fontId="6" fillId="2" borderId="15" xfId="3" applyFont="1" applyFill="1" applyBorder="1" applyAlignment="1">
      <alignment horizontal="center" vertical="center" wrapText="1"/>
    </xf>
    <xf numFmtId="0" fontId="41" fillId="2" borderId="1" xfId="3" applyFont="1" applyFill="1" applyBorder="1" applyAlignment="1">
      <alignment horizontal="left" vertical="center"/>
    </xf>
  </cellXfs>
  <cellStyles count="7">
    <cellStyle name="百分比" xfId="1" builtinId="5"/>
    <cellStyle name="常规" xfId="0" builtinId="0"/>
    <cellStyle name="常规 2" xfId="2"/>
    <cellStyle name="常规 3" xfId="3"/>
    <cellStyle name="常规 4" xfId="6"/>
    <cellStyle name="千位分隔 2" xfId="4"/>
    <cellStyle name="千位分隔 3" xfId="5"/>
  </cellStyles>
  <dxfs count="0"/>
  <tableStyles count="0" defaultTableStyle="TableStyleMedium2" defaultPivotStyle="PivotStyleLight16"/>
  <colors>
    <mruColors>
      <color rgb="FFF9FBFA"/>
      <color rgb="FFFFFF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B15" sqref="B15"/>
    </sheetView>
  </sheetViews>
  <sheetFormatPr defaultColWidth="9" defaultRowHeight="14.4"/>
  <cols>
    <col min="1" max="1" width="27.109375" customWidth="1"/>
    <col min="2" max="2" width="35.77734375" customWidth="1"/>
  </cols>
  <sheetData>
    <row r="1" spans="1:2" ht="26.4">
      <c r="A1" s="163" t="s">
        <v>0</v>
      </c>
      <c r="B1" s="163"/>
    </row>
    <row r="2" spans="1:2" ht="20.399999999999999">
      <c r="A2" s="164" t="s">
        <v>1</v>
      </c>
      <c r="B2" s="164"/>
    </row>
    <row r="3" spans="1:2" ht="21.6">
      <c r="A3" s="121" t="s">
        <v>2</v>
      </c>
      <c r="B3" s="122" t="s">
        <v>3</v>
      </c>
    </row>
    <row r="4" spans="1:2" ht="20.399999999999999">
      <c r="A4" s="121" t="s">
        <v>4</v>
      </c>
      <c r="B4" s="122" t="s">
        <v>5</v>
      </c>
    </row>
    <row r="5" spans="1:2" ht="20.399999999999999">
      <c r="A5" s="121" t="s">
        <v>6</v>
      </c>
      <c r="B5" s="122" t="s">
        <v>7</v>
      </c>
    </row>
    <row r="6" spans="1:2" ht="21.6">
      <c r="A6" s="121" t="s">
        <v>8</v>
      </c>
      <c r="B6" s="122" t="s">
        <v>9</v>
      </c>
    </row>
    <row r="7" spans="1:2" ht="20.399999999999999">
      <c r="A7" s="121" t="s">
        <v>10</v>
      </c>
      <c r="B7" s="122" t="s">
        <v>11</v>
      </c>
    </row>
    <row r="8" spans="1:2" ht="20.399999999999999">
      <c r="A8" s="121" t="s">
        <v>12</v>
      </c>
      <c r="B8" s="123">
        <v>426100</v>
      </c>
    </row>
    <row r="9" spans="1:2" ht="42" customHeight="1">
      <c r="A9" s="121" t="s">
        <v>13</v>
      </c>
      <c r="B9" s="123">
        <v>18874661028</v>
      </c>
    </row>
    <row r="10" spans="1:2" ht="45.75" customHeight="1">
      <c r="A10" s="121" t="s">
        <v>14</v>
      </c>
      <c r="B10" s="124">
        <v>44783</v>
      </c>
    </row>
  </sheetData>
  <mergeCells count="2">
    <mergeCell ref="A1:B1"/>
    <mergeCell ref="A2:B2"/>
  </mergeCells>
  <phoneticPr fontId="34" type="noConversion"/>
  <pageMargins left="1.48" right="0.7" top="1.45" bottom="0.75" header="0.25" footer="0.3"/>
  <pageSetup paperSize="9" orientation="portrait" r:id="rId1"/>
</worksheet>
</file>

<file path=xl/worksheets/sheet10.xml><?xml version="1.0" encoding="utf-8"?>
<worksheet xmlns="http://schemas.openxmlformats.org/spreadsheetml/2006/main" xmlns:r="http://schemas.openxmlformats.org/officeDocument/2006/relationships">
  <dimension ref="A1:A13"/>
  <sheetViews>
    <sheetView workbookViewId="0">
      <selection activeCell="H11" sqref="H11"/>
    </sheetView>
  </sheetViews>
  <sheetFormatPr defaultColWidth="9" defaultRowHeight="14.4"/>
  <cols>
    <col min="1" max="1" width="83.6640625" customWidth="1"/>
  </cols>
  <sheetData>
    <row r="1" spans="1:1" ht="74.25" customHeight="1">
      <c r="A1" s="1" t="s">
        <v>229</v>
      </c>
    </row>
    <row r="2" spans="1:1" ht="58.8">
      <c r="A2" s="2" t="s">
        <v>230</v>
      </c>
    </row>
    <row r="3" spans="1:1" ht="19.2">
      <c r="A3" s="2" t="s">
        <v>231</v>
      </c>
    </row>
    <row r="4" spans="1:1" ht="38.4">
      <c r="A4" s="2" t="s">
        <v>232</v>
      </c>
    </row>
    <row r="5" spans="1:1" ht="19.8">
      <c r="A5" s="3"/>
    </row>
    <row r="9" spans="1:1" ht="19.2">
      <c r="A9" s="4"/>
    </row>
    <row r="10" spans="1:1" ht="19.2">
      <c r="A10" s="4"/>
    </row>
    <row r="11" spans="1:1" ht="36.75" customHeight="1">
      <c r="A11" s="4" t="s">
        <v>233</v>
      </c>
    </row>
    <row r="12" spans="1:1" ht="32.25" customHeight="1">
      <c r="A12" s="2" t="s">
        <v>234</v>
      </c>
    </row>
    <row r="13" spans="1:1" ht="55.5" customHeight="1">
      <c r="A13" s="5" t="s">
        <v>235</v>
      </c>
    </row>
  </sheetData>
  <phoneticPr fontId="34" type="noConversion"/>
  <pageMargins left="0.70866141732283505" right="0.70866141732283505" top="1.5354330708661399" bottom="0.74803149606299202" header="0.31496062992126" footer="0.31496062992126"/>
  <pageSetup paperSize="9" orientation="portrait" r:id="rId1"/>
</worksheet>
</file>

<file path=xl/worksheets/sheet11.xml><?xml version="1.0" encoding="utf-8"?>
<worksheet xmlns="http://schemas.openxmlformats.org/spreadsheetml/2006/main" xmlns:r="http://schemas.openxmlformats.org/officeDocument/2006/relationships">
  <dimension ref="A1:D23"/>
  <sheetViews>
    <sheetView workbookViewId="0">
      <selection activeCell="J10" sqref="J10"/>
    </sheetView>
  </sheetViews>
  <sheetFormatPr defaultRowHeight="14.4"/>
  <cols>
    <col min="1" max="1" width="27.44140625" customWidth="1"/>
    <col min="2" max="2" width="18.44140625" customWidth="1"/>
    <col min="3" max="3" width="17.6640625" customWidth="1"/>
    <col min="4" max="4" width="17.88671875" customWidth="1"/>
  </cols>
  <sheetData>
    <row r="1" spans="1:4" ht="28.8" customHeight="1">
      <c r="A1" s="133" t="s">
        <v>255</v>
      </c>
      <c r="B1" s="140"/>
      <c r="C1" s="46"/>
      <c r="D1" s="46"/>
    </row>
    <row r="2" spans="1:4" ht="35.4" customHeight="1">
      <c r="A2" s="172" t="s">
        <v>288</v>
      </c>
      <c r="B2" s="172"/>
      <c r="C2" s="172"/>
      <c r="D2" s="172"/>
    </row>
    <row r="3" spans="1:4" ht="23.4" customHeight="1">
      <c r="A3" s="134" t="s">
        <v>53</v>
      </c>
      <c r="B3" s="83"/>
      <c r="C3" s="46"/>
      <c r="D3" s="46"/>
    </row>
    <row r="4" spans="1:4" ht="27" customHeight="1">
      <c r="A4" s="135" t="s">
        <v>54</v>
      </c>
      <c r="B4" s="135" t="s">
        <v>55</v>
      </c>
      <c r="C4" s="135" t="s">
        <v>56</v>
      </c>
      <c r="D4" s="135" t="s">
        <v>57</v>
      </c>
    </row>
    <row r="5" spans="1:4" ht="30" customHeight="1">
      <c r="A5" s="136" t="s">
        <v>251</v>
      </c>
      <c r="B5" s="86"/>
      <c r="C5" s="86"/>
      <c r="D5" s="86"/>
    </row>
    <row r="6" spans="1:4" ht="30" customHeight="1">
      <c r="A6" s="137" t="s">
        <v>254</v>
      </c>
      <c r="B6" s="86">
        <v>8451326</v>
      </c>
      <c r="C6" s="86">
        <v>10266520</v>
      </c>
      <c r="D6" s="86">
        <v>13268261</v>
      </c>
    </row>
    <row r="7" spans="1:4" ht="30" customHeight="1">
      <c r="A7" s="137" t="s">
        <v>252</v>
      </c>
      <c r="B7" s="86">
        <v>7301136</v>
      </c>
      <c r="C7" s="86">
        <v>9140500</v>
      </c>
      <c r="D7" s="86">
        <v>11614906</v>
      </c>
    </row>
    <row r="8" spans="1:4" ht="30" customHeight="1">
      <c r="A8" s="137" t="s">
        <v>253</v>
      </c>
      <c r="B8" s="86">
        <v>1150190</v>
      </c>
      <c r="C8" s="86">
        <v>1126020</v>
      </c>
      <c r="D8" s="86">
        <v>1653355</v>
      </c>
    </row>
    <row r="9" spans="1:4" ht="30" customHeight="1">
      <c r="A9" s="145" t="s">
        <v>256</v>
      </c>
      <c r="B9" s="146">
        <f>B7/B6</f>
        <v>0.86390419680887942</v>
      </c>
      <c r="C9" s="146">
        <f t="shared" ref="C9:D9" si="0">C7/C6</f>
        <v>0.89032116043216203</v>
      </c>
      <c r="D9" s="146">
        <f t="shared" si="0"/>
        <v>0.87539022634541186</v>
      </c>
    </row>
    <row r="10" spans="1:4" ht="30" customHeight="1">
      <c r="A10" s="136" t="s">
        <v>257</v>
      </c>
      <c r="B10" s="146">
        <f>B8/B6</f>
        <v>0.13609580319112055</v>
      </c>
      <c r="C10" s="146">
        <f t="shared" ref="C10:D10" si="1">C8/C6</f>
        <v>0.10967883956783799</v>
      </c>
      <c r="D10" s="146">
        <f t="shared" si="1"/>
        <v>0.1246097736545882</v>
      </c>
    </row>
    <row r="11" spans="1:4" ht="30" customHeight="1">
      <c r="A11" s="136"/>
      <c r="B11" s="86"/>
      <c r="C11" s="86"/>
      <c r="D11" s="86"/>
    </row>
    <row r="12" spans="1:4" ht="30" customHeight="1">
      <c r="A12" s="145" t="s">
        <v>258</v>
      </c>
      <c r="B12" s="86"/>
      <c r="C12" s="86"/>
      <c r="D12" s="86"/>
    </row>
    <row r="13" spans="1:4" ht="30" customHeight="1">
      <c r="A13" s="137" t="s">
        <v>66</v>
      </c>
      <c r="B13" s="86">
        <v>5812936</v>
      </c>
      <c r="C13" s="86">
        <v>7706900</v>
      </c>
      <c r="D13" s="86">
        <v>10182820</v>
      </c>
    </row>
    <row r="14" spans="1:4" ht="30" customHeight="1">
      <c r="A14" s="138" t="s">
        <v>71</v>
      </c>
      <c r="B14" s="86">
        <v>425200</v>
      </c>
      <c r="C14" s="86">
        <v>409600</v>
      </c>
      <c r="D14" s="86">
        <v>424000</v>
      </c>
    </row>
    <row r="15" spans="1:4" ht="30" customHeight="1">
      <c r="A15" s="137" t="s">
        <v>72</v>
      </c>
      <c r="B15" s="86">
        <v>1063000</v>
      </c>
      <c r="C15" s="86">
        <v>1024000</v>
      </c>
      <c r="D15" s="86">
        <v>1060000</v>
      </c>
    </row>
    <row r="16" spans="1:4" ht="30" customHeight="1">
      <c r="A16" s="139" t="s">
        <v>259</v>
      </c>
      <c r="B16" s="90">
        <f>B13/B7</f>
        <v>0.79616870580139854</v>
      </c>
      <c r="C16" s="90">
        <f t="shared" ref="C16:D16" si="2">C13/C7</f>
        <v>0.8431595645752421</v>
      </c>
      <c r="D16" s="90">
        <f t="shared" si="2"/>
        <v>0.87670274731452846</v>
      </c>
    </row>
    <row r="17" spans="1:4" ht="30" customHeight="1">
      <c r="A17" s="141" t="s">
        <v>260</v>
      </c>
      <c r="B17" s="90">
        <f>B14/B7</f>
        <v>5.8237512628171832E-2</v>
      </c>
      <c r="C17" s="90">
        <f t="shared" ref="C17:D17" si="3">C14/C7</f>
        <v>4.481155297850227E-2</v>
      </c>
      <c r="D17" s="90">
        <f t="shared" si="3"/>
        <v>3.6504815450077686E-2</v>
      </c>
    </row>
    <row r="18" spans="1:4" ht="30" customHeight="1">
      <c r="A18" s="139" t="s">
        <v>261</v>
      </c>
      <c r="B18" s="147">
        <f>B15/B7</f>
        <v>0.1455937815704296</v>
      </c>
      <c r="C18" s="147">
        <f t="shared" ref="C18:D18" si="4">C15/C7</f>
        <v>0.11202888244625568</v>
      </c>
      <c r="D18" s="147">
        <f t="shared" si="4"/>
        <v>9.1262038625194206E-2</v>
      </c>
    </row>
    <row r="19" spans="1:4" ht="30" customHeight="1">
      <c r="A19" s="139"/>
      <c r="B19" s="94"/>
      <c r="C19" s="94"/>
      <c r="D19" s="94"/>
    </row>
    <row r="20" spans="1:4" ht="30" customHeight="1">
      <c r="A20" s="148" t="s">
        <v>262</v>
      </c>
      <c r="B20" s="159"/>
      <c r="C20" s="159"/>
      <c r="D20" s="160"/>
    </row>
    <row r="21" spans="1:4" ht="30" customHeight="1">
      <c r="A21" s="139" t="s">
        <v>259</v>
      </c>
      <c r="B21" s="161">
        <f>B16*B9</f>
        <v>0.68781348630972217</v>
      </c>
      <c r="C21" s="161">
        <f t="shared" ref="C21:D21" si="5">C16*C9</f>
        <v>0.75068280196210602</v>
      </c>
      <c r="D21" s="161">
        <f t="shared" si="5"/>
        <v>0.76745701640930952</v>
      </c>
    </row>
    <row r="22" spans="1:4" ht="30" customHeight="1">
      <c r="A22" s="141" t="s">
        <v>260</v>
      </c>
      <c r="B22" s="161">
        <f>B17*B9</f>
        <v>5.0311631571187759E-2</v>
      </c>
      <c r="C22" s="161">
        <f t="shared" ref="C22:D22" si="6">C17*C9</f>
        <v>3.9896673848587451E-2</v>
      </c>
      <c r="D22" s="161">
        <f t="shared" si="6"/>
        <v>3.1955958659540991E-2</v>
      </c>
    </row>
    <row r="23" spans="1:4" ht="30" customHeight="1">
      <c r="A23" s="139" t="s">
        <v>261</v>
      </c>
      <c r="B23" s="162">
        <f>B18*B9</f>
        <v>0.12577907892796941</v>
      </c>
      <c r="C23" s="162">
        <f t="shared" ref="C23:D23" si="7">C18*C9</f>
        <v>9.9741684621468624E-2</v>
      </c>
      <c r="D23" s="162">
        <f t="shared" si="7"/>
        <v>7.9889896648852474E-2</v>
      </c>
    </row>
  </sheetData>
  <mergeCells count="1">
    <mergeCell ref="A2:D2"/>
  </mergeCells>
  <phoneticPr fontId="34" type="noConversion"/>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E34"/>
  <sheetViews>
    <sheetView workbookViewId="0">
      <selection activeCell="C15" sqref="C15"/>
    </sheetView>
  </sheetViews>
  <sheetFormatPr defaultColWidth="9" defaultRowHeight="14.4"/>
  <cols>
    <col min="1" max="1" width="28.88671875" customWidth="1"/>
    <col min="2" max="2" width="17" style="46" customWidth="1"/>
    <col min="3" max="3" width="16.77734375" style="46" customWidth="1"/>
    <col min="4" max="4" width="15.88671875" style="46" customWidth="1"/>
    <col min="5" max="5" width="11.109375" customWidth="1"/>
  </cols>
  <sheetData>
    <row r="1" spans="1:5" ht="21">
      <c r="A1" s="96" t="s">
        <v>15</v>
      </c>
      <c r="B1" s="81"/>
      <c r="C1" s="81"/>
    </row>
    <row r="2" spans="1:5" ht="22.8" customHeight="1">
      <c r="A2" s="165" t="s">
        <v>277</v>
      </c>
      <c r="B2" s="165"/>
      <c r="C2" s="165"/>
      <c r="D2" s="165"/>
      <c r="E2" s="165"/>
    </row>
    <row r="3" spans="1:5" ht="18.600000000000001" customHeight="1">
      <c r="A3" s="166" t="s">
        <v>16</v>
      </c>
      <c r="B3" s="167"/>
      <c r="C3" s="167"/>
    </row>
    <row r="4" spans="1:5" ht="22.95" customHeight="1">
      <c r="A4" s="97" t="s">
        <v>17</v>
      </c>
      <c r="B4" s="97" t="s">
        <v>18</v>
      </c>
      <c r="C4" s="98" t="s">
        <v>19</v>
      </c>
      <c r="D4" s="98" t="s">
        <v>20</v>
      </c>
      <c r="E4" s="98" t="s">
        <v>21</v>
      </c>
    </row>
    <row r="5" spans="1:5" ht="22.95" customHeight="1">
      <c r="A5" s="99" t="s">
        <v>22</v>
      </c>
      <c r="B5" s="97"/>
      <c r="C5" s="100"/>
      <c r="D5" s="100"/>
      <c r="E5" s="168" t="s">
        <v>23</v>
      </c>
    </row>
    <row r="6" spans="1:5" ht="22.95" customHeight="1">
      <c r="A6" s="101" t="s">
        <v>24</v>
      </c>
      <c r="B6" s="102">
        <v>21</v>
      </c>
      <c r="C6" s="100">
        <v>22</v>
      </c>
      <c r="D6" s="100">
        <v>22</v>
      </c>
      <c r="E6" s="169"/>
    </row>
    <row r="7" spans="1:5" ht="22.95" customHeight="1">
      <c r="A7" s="101" t="s">
        <v>25</v>
      </c>
      <c r="B7" s="102"/>
      <c r="C7" s="100"/>
      <c r="D7" s="100"/>
      <c r="E7" s="169"/>
    </row>
    <row r="8" spans="1:5" ht="22.95" customHeight="1">
      <c r="A8" s="103" t="s">
        <v>26</v>
      </c>
      <c r="B8" s="104"/>
      <c r="C8" s="100"/>
      <c r="D8" s="100"/>
      <c r="E8" s="169"/>
    </row>
    <row r="9" spans="1:5" ht="22.95" customHeight="1">
      <c r="A9" s="99" t="s">
        <v>27</v>
      </c>
      <c r="B9" s="97"/>
      <c r="C9" s="105"/>
      <c r="D9" s="105"/>
      <c r="E9" s="169"/>
    </row>
    <row r="10" spans="1:5" ht="22.95" customHeight="1">
      <c r="A10" s="101" t="s">
        <v>24</v>
      </c>
      <c r="B10" s="102">
        <v>1063</v>
      </c>
      <c r="C10" s="105">
        <v>1024</v>
      </c>
      <c r="D10" s="105">
        <v>1060</v>
      </c>
      <c r="E10" s="169"/>
    </row>
    <row r="11" spans="1:5" ht="22.95" customHeight="1">
      <c r="A11" s="101" t="s">
        <v>25</v>
      </c>
      <c r="B11" s="102"/>
      <c r="C11" s="105"/>
      <c r="D11" s="105"/>
      <c r="E11" s="169"/>
    </row>
    <row r="12" spans="1:5" ht="22.95" customHeight="1">
      <c r="A12" s="103" t="s">
        <v>28</v>
      </c>
      <c r="B12" s="104"/>
      <c r="C12" s="105"/>
      <c r="D12" s="105"/>
      <c r="E12" s="169"/>
    </row>
    <row r="13" spans="1:5" ht="22.95" customHeight="1">
      <c r="A13" s="106" t="s">
        <v>29</v>
      </c>
      <c r="B13" s="98"/>
      <c r="C13" s="105"/>
      <c r="D13" s="105"/>
      <c r="E13" s="170"/>
    </row>
    <row r="14" spans="1:5" ht="22.95" customHeight="1">
      <c r="A14" s="107" t="s">
        <v>30</v>
      </c>
      <c r="B14" s="108"/>
      <c r="C14" s="100"/>
      <c r="D14" s="100"/>
      <c r="E14" s="171" t="s">
        <v>31</v>
      </c>
    </row>
    <row r="15" spans="1:5" ht="22.95" customHeight="1">
      <c r="A15" s="109" t="s">
        <v>32</v>
      </c>
      <c r="B15" s="110"/>
      <c r="C15" s="100"/>
      <c r="D15" s="100"/>
      <c r="E15" s="171"/>
    </row>
    <row r="16" spans="1:5" ht="22.95" customHeight="1">
      <c r="A16" s="111" t="s">
        <v>33</v>
      </c>
      <c r="B16" s="110"/>
      <c r="C16" s="100"/>
      <c r="D16" s="100"/>
      <c r="E16" s="171"/>
    </row>
    <row r="17" spans="1:5" ht="22.95" customHeight="1">
      <c r="A17" s="112" t="s">
        <v>34</v>
      </c>
      <c r="B17" s="102">
        <v>53</v>
      </c>
      <c r="C17" s="100">
        <v>59</v>
      </c>
      <c r="D17" s="100">
        <v>57</v>
      </c>
      <c r="E17" s="171"/>
    </row>
    <row r="18" spans="1:5" ht="22.95" customHeight="1">
      <c r="A18" s="112" t="s">
        <v>35</v>
      </c>
      <c r="B18" s="113"/>
      <c r="C18" s="100"/>
      <c r="D18" s="100"/>
      <c r="E18" s="171"/>
    </row>
    <row r="19" spans="1:5" ht="22.95" customHeight="1">
      <c r="A19" s="112" t="s">
        <v>36</v>
      </c>
      <c r="B19" s="113"/>
      <c r="C19" s="100"/>
      <c r="D19" s="100"/>
      <c r="E19" s="171"/>
    </row>
    <row r="20" spans="1:5" ht="22.95" customHeight="1">
      <c r="A20" s="114" t="s">
        <v>37</v>
      </c>
      <c r="B20" s="115"/>
      <c r="C20" s="100"/>
      <c r="D20" s="100"/>
      <c r="E20" s="171"/>
    </row>
    <row r="21" spans="1:5" ht="22.95" customHeight="1">
      <c r="A21" s="111" t="s">
        <v>38</v>
      </c>
      <c r="B21" s="110"/>
      <c r="C21" s="100"/>
      <c r="D21" s="100"/>
      <c r="E21" s="171"/>
    </row>
    <row r="22" spans="1:5" ht="22.95" customHeight="1">
      <c r="A22" s="111" t="s">
        <v>39</v>
      </c>
      <c r="B22" s="110">
        <v>5</v>
      </c>
      <c r="C22" s="100">
        <v>5</v>
      </c>
      <c r="D22" s="100">
        <v>5</v>
      </c>
      <c r="E22" s="171"/>
    </row>
    <row r="23" spans="1:5" s="46" customFormat="1" ht="22.95" customHeight="1">
      <c r="A23" s="110" t="s">
        <v>40</v>
      </c>
      <c r="B23" s="110">
        <v>38</v>
      </c>
      <c r="C23" s="100">
        <v>37</v>
      </c>
      <c r="D23" s="100">
        <v>37</v>
      </c>
      <c r="E23" s="171"/>
    </row>
    <row r="24" spans="1:5" ht="22.95" customHeight="1">
      <c r="A24" s="116" t="s">
        <v>41</v>
      </c>
      <c r="B24" s="100"/>
      <c r="C24" s="100"/>
      <c r="D24" s="100"/>
      <c r="E24" s="171"/>
    </row>
    <row r="25" spans="1:5" ht="22.95" customHeight="1">
      <c r="A25" s="116" t="s">
        <v>42</v>
      </c>
      <c r="B25" s="100"/>
      <c r="C25" s="100"/>
      <c r="D25" s="100"/>
      <c r="E25" s="171"/>
    </row>
    <row r="26" spans="1:5" ht="22.95" customHeight="1">
      <c r="A26" s="116" t="s">
        <v>43</v>
      </c>
      <c r="B26" s="100"/>
      <c r="C26" s="100"/>
      <c r="D26" s="100"/>
      <c r="E26" s="171"/>
    </row>
    <row r="27" spans="1:5" ht="22.95" customHeight="1">
      <c r="A27" s="116" t="s">
        <v>44</v>
      </c>
      <c r="B27" s="100"/>
      <c r="C27" s="100"/>
      <c r="D27" s="100"/>
      <c r="E27" s="171"/>
    </row>
    <row r="28" spans="1:5" ht="22.95" customHeight="1">
      <c r="A28" s="116" t="s">
        <v>45</v>
      </c>
      <c r="B28" s="100"/>
      <c r="C28" s="100"/>
      <c r="D28" s="100"/>
      <c r="E28" s="171"/>
    </row>
    <row r="29" spans="1:5" ht="22.95" customHeight="1">
      <c r="A29" s="117" t="s">
        <v>46</v>
      </c>
      <c r="B29" s="118">
        <v>27806483</v>
      </c>
      <c r="C29" s="118">
        <v>27806483</v>
      </c>
      <c r="D29" s="118">
        <v>27806483</v>
      </c>
      <c r="E29" s="116"/>
    </row>
    <row r="30" spans="1:5" ht="22.95" customHeight="1">
      <c r="A30" s="109" t="s">
        <v>47</v>
      </c>
      <c r="B30" s="110">
        <v>25196539</v>
      </c>
      <c r="C30" s="110">
        <v>25196539</v>
      </c>
      <c r="D30" s="110">
        <v>25196539</v>
      </c>
      <c r="E30" s="116"/>
    </row>
    <row r="31" spans="1:5" ht="22.95" customHeight="1">
      <c r="A31" s="109" t="s">
        <v>48</v>
      </c>
      <c r="B31" s="110">
        <v>1091651</v>
      </c>
      <c r="C31" s="110">
        <v>1091651</v>
      </c>
      <c r="D31" s="110">
        <v>1091651</v>
      </c>
      <c r="E31" s="116"/>
    </row>
    <row r="32" spans="1:5" ht="22.95" customHeight="1">
      <c r="A32" s="109" t="s">
        <v>49</v>
      </c>
      <c r="B32" s="110">
        <v>1431377</v>
      </c>
      <c r="C32" s="110">
        <v>1431377</v>
      </c>
      <c r="D32" s="110">
        <v>1431377</v>
      </c>
      <c r="E32" s="116"/>
    </row>
    <row r="33" spans="1:5" ht="22.95" customHeight="1">
      <c r="A33" s="109" t="s">
        <v>50</v>
      </c>
      <c r="B33" s="110">
        <v>86916</v>
      </c>
      <c r="C33" s="110">
        <v>86916</v>
      </c>
      <c r="D33" s="110">
        <v>86916</v>
      </c>
      <c r="E33" s="116"/>
    </row>
    <row r="34" spans="1:5" ht="22.95" customHeight="1">
      <c r="A34" s="119" t="s">
        <v>51</v>
      </c>
      <c r="B34" s="120"/>
      <c r="C34" s="100"/>
      <c r="D34" s="100"/>
      <c r="E34" s="116"/>
    </row>
  </sheetData>
  <mergeCells count="4">
    <mergeCell ref="A2:E2"/>
    <mergeCell ref="A3:C3"/>
    <mergeCell ref="E5:E13"/>
    <mergeCell ref="E14:E28"/>
  </mergeCells>
  <phoneticPr fontId="34" type="noConversion"/>
  <pageMargins left="0.82638888888888895" right="0.47222222222222199"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D26"/>
  <sheetViews>
    <sheetView workbookViewId="0">
      <selection activeCell="H10" sqref="H10"/>
    </sheetView>
  </sheetViews>
  <sheetFormatPr defaultColWidth="9" defaultRowHeight="14.4"/>
  <cols>
    <col min="1" max="1" width="27.77734375" customWidth="1"/>
    <col min="2" max="4" width="18.88671875" style="46" customWidth="1"/>
    <col min="5" max="8" width="9" customWidth="1"/>
  </cols>
  <sheetData>
    <row r="1" spans="1:4" ht="21.6">
      <c r="A1" s="80" t="s">
        <v>52</v>
      </c>
      <c r="B1" s="81"/>
    </row>
    <row r="2" spans="1:4" ht="27.6" customHeight="1">
      <c r="A2" s="172" t="s">
        <v>276</v>
      </c>
      <c r="B2" s="172"/>
      <c r="C2" s="172"/>
      <c r="D2" s="172"/>
    </row>
    <row r="3" spans="1:4">
      <c r="A3" s="82" t="s">
        <v>53</v>
      </c>
      <c r="B3" s="83"/>
    </row>
    <row r="4" spans="1:4" ht="36" customHeight="1">
      <c r="A4" s="84" t="s">
        <v>54</v>
      </c>
      <c r="B4" s="84" t="s">
        <v>55</v>
      </c>
      <c r="C4" s="84" t="s">
        <v>56</v>
      </c>
      <c r="D4" s="84" t="s">
        <v>57</v>
      </c>
    </row>
    <row r="5" spans="1:4" ht="30" customHeight="1">
      <c r="A5" s="85" t="s">
        <v>58</v>
      </c>
      <c r="B5" s="86">
        <f>B6</f>
        <v>218700</v>
      </c>
      <c r="C5" s="86">
        <f>C6</f>
        <v>1006900</v>
      </c>
      <c r="D5" s="86">
        <f>D6</f>
        <v>690400</v>
      </c>
    </row>
    <row r="6" spans="1:4" ht="30" customHeight="1">
      <c r="A6" s="87" t="s">
        <v>59</v>
      </c>
      <c r="B6" s="86">
        <v>218700</v>
      </c>
      <c r="C6" s="86">
        <v>1006900</v>
      </c>
      <c r="D6" s="86">
        <v>690400</v>
      </c>
    </row>
    <row r="7" spans="1:4" ht="30" customHeight="1">
      <c r="A7" s="87" t="s">
        <v>60</v>
      </c>
      <c r="B7" s="86"/>
      <c r="C7" s="86"/>
      <c r="D7" s="86"/>
    </row>
    <row r="8" spans="1:4" ht="30" customHeight="1">
      <c r="A8" s="87" t="s">
        <v>61</v>
      </c>
      <c r="B8" s="86"/>
      <c r="C8" s="86"/>
      <c r="D8" s="86"/>
    </row>
    <row r="9" spans="1:4" ht="30" customHeight="1">
      <c r="A9" s="87" t="s">
        <v>62</v>
      </c>
      <c r="B9" s="86"/>
      <c r="C9" s="86"/>
      <c r="D9" s="86"/>
    </row>
    <row r="10" spans="1:4" ht="30" customHeight="1">
      <c r="A10" s="85" t="s">
        <v>63</v>
      </c>
      <c r="B10" s="86"/>
      <c r="C10" s="86"/>
      <c r="D10" s="86"/>
    </row>
    <row r="11" spans="1:4" ht="30" customHeight="1">
      <c r="A11" s="85" t="s">
        <v>64</v>
      </c>
      <c r="B11" s="86">
        <f>B12</f>
        <v>7488003</v>
      </c>
      <c r="C11" s="86">
        <f>C12</f>
        <v>9300169</v>
      </c>
      <c r="D11" s="86">
        <f>D12</f>
        <v>11764818</v>
      </c>
    </row>
    <row r="12" spans="1:4" ht="30" customHeight="1">
      <c r="A12" s="87" t="s">
        <v>65</v>
      </c>
      <c r="B12" s="86">
        <f>B13+B18+B19+B20</f>
        <v>7488003</v>
      </c>
      <c r="C12" s="86">
        <f>C13+C18+C19+C20</f>
        <v>9300169</v>
      </c>
      <c r="D12" s="86">
        <v>11764818</v>
      </c>
    </row>
    <row r="13" spans="1:4" ht="30" customHeight="1">
      <c r="A13" s="87" t="s">
        <v>66</v>
      </c>
      <c r="B13" s="86">
        <v>5812936</v>
      </c>
      <c r="C13" s="86">
        <v>7706900</v>
      </c>
      <c r="D13" s="86">
        <v>10182820</v>
      </c>
    </row>
    <row r="14" spans="1:4" ht="30" customHeight="1">
      <c r="A14" s="87" t="s">
        <v>67</v>
      </c>
      <c r="B14" s="86">
        <v>5812936</v>
      </c>
      <c r="C14" s="86">
        <v>7706900</v>
      </c>
      <c r="D14" s="86">
        <v>10182820</v>
      </c>
    </row>
    <row r="15" spans="1:4" ht="30" customHeight="1">
      <c r="A15" s="87" t="s">
        <v>68</v>
      </c>
      <c r="B15" s="86"/>
      <c r="C15" s="86"/>
      <c r="D15" s="86"/>
    </row>
    <row r="16" spans="1:4" ht="30" customHeight="1">
      <c r="A16" s="87" t="s">
        <v>69</v>
      </c>
      <c r="B16" s="86"/>
      <c r="C16" s="86"/>
      <c r="D16" s="86"/>
    </row>
    <row r="17" spans="1:4" ht="30" customHeight="1">
      <c r="A17" s="87" t="s">
        <v>70</v>
      </c>
      <c r="B17" s="86"/>
      <c r="C17" s="86"/>
      <c r="D17" s="86"/>
    </row>
    <row r="18" spans="1:4" ht="30" customHeight="1">
      <c r="A18" s="88" t="s">
        <v>71</v>
      </c>
      <c r="B18" s="86">
        <v>425200</v>
      </c>
      <c r="C18" s="86">
        <v>409600</v>
      </c>
      <c r="D18" s="86">
        <v>424000</v>
      </c>
    </row>
    <row r="19" spans="1:4" ht="30" customHeight="1">
      <c r="A19" s="87" t="s">
        <v>72</v>
      </c>
      <c r="B19" s="86">
        <v>1063000</v>
      </c>
      <c r="C19" s="86">
        <v>1024000</v>
      </c>
      <c r="D19" s="86">
        <v>1060000</v>
      </c>
    </row>
    <row r="20" spans="1:4" ht="30" customHeight="1">
      <c r="A20" s="89" t="s">
        <v>73</v>
      </c>
      <c r="B20" s="90">
        <v>186867</v>
      </c>
      <c r="C20" s="90">
        <v>159669</v>
      </c>
      <c r="D20" s="90">
        <v>97998</v>
      </c>
    </row>
    <row r="21" spans="1:4" ht="30" customHeight="1">
      <c r="A21" s="91" t="s">
        <v>74</v>
      </c>
      <c r="B21" s="90"/>
      <c r="C21" s="90"/>
      <c r="D21" s="90"/>
    </row>
    <row r="22" spans="1:4" ht="30" customHeight="1">
      <c r="A22" s="92" t="s">
        <v>75</v>
      </c>
      <c r="B22" s="93"/>
      <c r="C22" s="93"/>
      <c r="D22" s="93"/>
    </row>
    <row r="23" spans="1:4" ht="30" customHeight="1">
      <c r="A23" s="92" t="s">
        <v>76</v>
      </c>
      <c r="B23" s="94"/>
      <c r="C23" s="94"/>
      <c r="D23" s="94"/>
    </row>
    <row r="24" spans="1:4" ht="30" customHeight="1">
      <c r="A24" s="92" t="s">
        <v>77</v>
      </c>
      <c r="B24" s="94"/>
      <c r="C24" s="94"/>
      <c r="D24" s="94"/>
    </row>
    <row r="25" spans="1:4" ht="30" customHeight="1">
      <c r="A25" s="95" t="s">
        <v>78</v>
      </c>
      <c r="B25" s="94"/>
      <c r="C25" s="94"/>
      <c r="D25" s="94"/>
    </row>
    <row r="26" spans="1:4" ht="30" customHeight="1">
      <c r="A26" s="95" t="s">
        <v>79</v>
      </c>
      <c r="B26" s="94"/>
      <c r="C26" s="94"/>
      <c r="D26" s="94"/>
    </row>
  </sheetData>
  <mergeCells count="1">
    <mergeCell ref="A2:D2"/>
  </mergeCells>
  <phoneticPr fontId="34" type="noConversion"/>
  <pageMargins left="1.0236111111111099"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J55"/>
  <sheetViews>
    <sheetView workbookViewId="0">
      <selection activeCell="M5" sqref="M5"/>
    </sheetView>
  </sheetViews>
  <sheetFormatPr defaultColWidth="9" defaultRowHeight="14.4"/>
  <cols>
    <col min="1" max="1" width="26.44140625" style="29" customWidth="1"/>
    <col min="2" max="2" width="13.44140625" style="65" customWidth="1"/>
    <col min="3" max="3" width="9.5546875" style="65" customWidth="1"/>
    <col min="4" max="4" width="13" style="65" customWidth="1"/>
    <col min="5" max="5" width="13.44140625" style="65" customWidth="1"/>
    <col min="6" max="6" width="10.44140625" style="65" customWidth="1"/>
    <col min="7" max="8" width="13.44140625" style="65" customWidth="1"/>
    <col min="9" max="9" width="10.44140625" style="65" customWidth="1"/>
    <col min="10" max="10" width="13.21875" style="65" customWidth="1"/>
    <col min="11" max="16384" width="9" style="29"/>
  </cols>
  <sheetData>
    <row r="1" spans="1:10" ht="21">
      <c r="A1" s="66" t="s">
        <v>80</v>
      </c>
      <c r="B1" s="67"/>
      <c r="C1" s="67"/>
      <c r="D1" s="67"/>
    </row>
    <row r="2" spans="1:10" ht="26.4">
      <c r="A2" s="173" t="s">
        <v>275</v>
      </c>
      <c r="B2" s="173"/>
      <c r="C2" s="173"/>
      <c r="D2" s="173"/>
      <c r="E2" s="173"/>
      <c r="F2" s="173"/>
      <c r="G2" s="173"/>
      <c r="H2" s="173"/>
      <c r="I2" s="173"/>
      <c r="J2" s="173"/>
    </row>
    <row r="3" spans="1:10" ht="19.2" customHeight="1">
      <c r="A3" s="68"/>
      <c r="B3" s="68"/>
      <c r="C3" s="68"/>
      <c r="D3" s="68"/>
      <c r="J3" s="65" t="s">
        <v>81</v>
      </c>
    </row>
    <row r="4" spans="1:10" ht="34.200000000000003" customHeight="1">
      <c r="A4" s="69" t="s">
        <v>82</v>
      </c>
      <c r="B4" s="69" t="s">
        <v>83</v>
      </c>
      <c r="C4" s="69" t="s">
        <v>84</v>
      </c>
      <c r="D4" s="69" t="s">
        <v>85</v>
      </c>
      <c r="E4" s="69" t="s">
        <v>86</v>
      </c>
      <c r="F4" s="69" t="s">
        <v>84</v>
      </c>
      <c r="G4" s="69" t="s">
        <v>87</v>
      </c>
      <c r="H4" s="69" t="s">
        <v>88</v>
      </c>
      <c r="I4" s="69" t="s">
        <v>84</v>
      </c>
      <c r="J4" s="69" t="s">
        <v>89</v>
      </c>
    </row>
    <row r="5" spans="1:10" s="64" customFormat="1" ht="18" customHeight="1">
      <c r="A5" s="70" t="s">
        <v>90</v>
      </c>
      <c r="B5" s="71">
        <f>SUM(B6:B11)</f>
        <v>4705614</v>
      </c>
      <c r="C5" s="71">
        <f>D5-B5</f>
        <v>0</v>
      </c>
      <c r="D5" s="71">
        <f t="shared" ref="D5:J5" si="0">D6+D7+D8+D9+D10+D11</f>
        <v>4705614</v>
      </c>
      <c r="E5" s="71">
        <f>SUM(E6:E11)</f>
        <v>5573285</v>
      </c>
      <c r="F5" s="71">
        <f>G5-E5</f>
        <v>140597.90000000037</v>
      </c>
      <c r="G5" s="71">
        <f>G6+G7+G8+G9+G10+G11</f>
        <v>5713882.9000000004</v>
      </c>
      <c r="H5" s="71">
        <f>SUM(H6:H11)</f>
        <v>8365643</v>
      </c>
      <c r="I5" s="71">
        <f>J5-H5</f>
        <v>-1634243</v>
      </c>
      <c r="J5" s="71">
        <f t="shared" si="0"/>
        <v>6731400</v>
      </c>
    </row>
    <row r="6" spans="1:10" ht="18" customHeight="1">
      <c r="A6" s="72" t="s">
        <v>91</v>
      </c>
      <c r="B6" s="35">
        <v>3699068</v>
      </c>
      <c r="C6" s="71">
        <f t="shared" ref="C6:C55" si="1">D6-B6</f>
        <v>366498</v>
      </c>
      <c r="D6" s="35">
        <v>4065566</v>
      </c>
      <c r="E6" s="35">
        <v>4395734</v>
      </c>
      <c r="F6" s="71">
        <f t="shared" ref="F6:F10" si="2">G6-E6</f>
        <v>679424</v>
      </c>
      <c r="G6" s="35">
        <v>5075158</v>
      </c>
      <c r="H6" s="35">
        <v>5326669</v>
      </c>
      <c r="I6" s="71">
        <f t="shared" ref="I6:I55" si="3">J6-H6</f>
        <v>1404731</v>
      </c>
      <c r="J6" s="35">
        <v>6731400</v>
      </c>
    </row>
    <row r="7" spans="1:10" ht="18" customHeight="1">
      <c r="A7" s="72" t="s">
        <v>92</v>
      </c>
      <c r="B7" s="35">
        <v>190200</v>
      </c>
      <c r="C7" s="71">
        <f t="shared" si="1"/>
        <v>-190200</v>
      </c>
      <c r="D7" s="35"/>
      <c r="E7" s="35">
        <v>343683</v>
      </c>
      <c r="F7" s="71">
        <f t="shared" si="2"/>
        <v>-343683</v>
      </c>
      <c r="G7" s="35"/>
      <c r="H7" s="35">
        <v>986446</v>
      </c>
      <c r="I7" s="71">
        <f t="shared" si="3"/>
        <v>-986446</v>
      </c>
      <c r="J7" s="35"/>
    </row>
    <row r="8" spans="1:10" ht="18" customHeight="1">
      <c r="A8" s="72" t="s">
        <v>93</v>
      </c>
      <c r="B8" s="35">
        <v>176298</v>
      </c>
      <c r="C8" s="71">
        <f t="shared" si="1"/>
        <v>-176298</v>
      </c>
      <c r="D8" s="35"/>
      <c r="E8" s="35">
        <v>335741</v>
      </c>
      <c r="F8" s="71">
        <f t="shared" si="2"/>
        <v>-335741</v>
      </c>
      <c r="G8" s="35"/>
      <c r="H8" s="35">
        <v>1152993</v>
      </c>
      <c r="I8" s="71">
        <f t="shared" si="3"/>
        <v>-1152993</v>
      </c>
      <c r="J8" s="35"/>
    </row>
    <row r="9" spans="1:10" ht="18" customHeight="1">
      <c r="A9" s="72" t="s">
        <v>94</v>
      </c>
      <c r="B9" s="35">
        <v>334252</v>
      </c>
      <c r="C9" s="71">
        <f t="shared" si="1"/>
        <v>0</v>
      </c>
      <c r="D9" s="35">
        <v>334252</v>
      </c>
      <c r="E9" s="35">
        <v>384967</v>
      </c>
      <c r="F9" s="71">
        <f t="shared" si="2"/>
        <v>0</v>
      </c>
      <c r="G9" s="35">
        <v>384967</v>
      </c>
      <c r="H9" s="35">
        <v>691567</v>
      </c>
      <c r="I9" s="71">
        <f t="shared" si="3"/>
        <v>-691567</v>
      </c>
      <c r="J9" s="35"/>
    </row>
    <row r="10" spans="1:10" ht="18" customHeight="1">
      <c r="A10" s="72" t="s">
        <v>95</v>
      </c>
      <c r="B10" s="35">
        <v>305796</v>
      </c>
      <c r="C10" s="71">
        <f t="shared" si="1"/>
        <v>0</v>
      </c>
      <c r="D10" s="35">
        <v>305796</v>
      </c>
      <c r="E10" s="35">
        <v>113160</v>
      </c>
      <c r="F10" s="71">
        <f t="shared" si="2"/>
        <v>140597.9</v>
      </c>
      <c r="G10" s="35">
        <v>253757.9</v>
      </c>
      <c r="H10" s="35">
        <v>207968</v>
      </c>
      <c r="I10" s="71">
        <f t="shared" si="3"/>
        <v>-207968</v>
      </c>
      <c r="J10" s="35"/>
    </row>
    <row r="11" spans="1:10" ht="18" customHeight="1">
      <c r="A11" s="72" t="s">
        <v>96</v>
      </c>
      <c r="B11" s="35"/>
      <c r="C11" s="71">
        <f t="shared" si="1"/>
        <v>0</v>
      </c>
      <c r="D11" s="35"/>
      <c r="E11" s="35"/>
      <c r="F11" s="35"/>
      <c r="G11" s="35"/>
      <c r="H11" s="35"/>
      <c r="I11" s="71">
        <f t="shared" si="3"/>
        <v>0</v>
      </c>
      <c r="J11" s="35"/>
    </row>
    <row r="12" spans="1:10" s="64" customFormat="1" ht="18" customHeight="1">
      <c r="A12" s="70" t="s">
        <v>97</v>
      </c>
      <c r="B12" s="71">
        <f>SUM(B13:B36)</f>
        <v>1813379</v>
      </c>
      <c r="C12" s="71">
        <f t="shared" si="1"/>
        <v>-79763.088000000222</v>
      </c>
      <c r="D12" s="71">
        <f t="shared" ref="D12:J12" si="4">SUM(D13:D36)</f>
        <v>1733615.9119999998</v>
      </c>
      <c r="E12" s="71">
        <f t="shared" si="4"/>
        <v>2361518</v>
      </c>
      <c r="F12" s="71">
        <f t="shared" ref="F12:F55" si="5">G12-E12</f>
        <v>-484514.0700000003</v>
      </c>
      <c r="G12" s="71">
        <f t="shared" si="4"/>
        <v>1877003.9299999997</v>
      </c>
      <c r="H12" s="71">
        <f t="shared" si="4"/>
        <v>2094092</v>
      </c>
      <c r="I12" s="71">
        <f t="shared" si="3"/>
        <v>-473365.48</v>
      </c>
      <c r="J12" s="71">
        <f t="shared" si="4"/>
        <v>1620726.52</v>
      </c>
    </row>
    <row r="13" spans="1:10" ht="18" customHeight="1">
      <c r="A13" s="73" t="s">
        <v>98</v>
      </c>
      <c r="B13" s="35">
        <v>211979</v>
      </c>
      <c r="C13" s="71">
        <f t="shared" si="1"/>
        <v>-0.30999999999767169</v>
      </c>
      <c r="D13" s="35">
        <f>199586.69+12392</f>
        <v>211978.69</v>
      </c>
      <c r="E13" s="35">
        <v>138444</v>
      </c>
      <c r="F13" s="71">
        <f t="shared" si="5"/>
        <v>0.44000000000232831</v>
      </c>
      <c r="G13" s="35">
        <f>117920.44+20524</f>
        <v>138444.44</v>
      </c>
      <c r="H13" s="35">
        <v>136825</v>
      </c>
      <c r="I13" s="71">
        <f t="shared" si="3"/>
        <v>7.0000000006984919E-2</v>
      </c>
      <c r="J13" s="35">
        <f>118025.07+18800</f>
        <v>136825.07</v>
      </c>
    </row>
    <row r="14" spans="1:10" ht="18" customHeight="1">
      <c r="A14" s="73" t="s">
        <v>99</v>
      </c>
      <c r="B14" s="35">
        <v>189473</v>
      </c>
      <c r="C14" s="71">
        <f t="shared" si="1"/>
        <v>-177613</v>
      </c>
      <c r="D14" s="35">
        <v>11860</v>
      </c>
      <c r="E14" s="35">
        <v>191731</v>
      </c>
      <c r="F14" s="71">
        <f t="shared" si="5"/>
        <v>-191731</v>
      </c>
      <c r="G14" s="35"/>
      <c r="H14" s="35">
        <v>214212</v>
      </c>
      <c r="I14" s="71">
        <f t="shared" si="3"/>
        <v>-213755</v>
      </c>
      <c r="J14" s="35">
        <v>457</v>
      </c>
    </row>
    <row r="15" spans="1:10" ht="18" customHeight="1">
      <c r="A15" s="73" t="s">
        <v>100</v>
      </c>
      <c r="B15" s="35"/>
      <c r="C15" s="71">
        <f t="shared" si="1"/>
        <v>0</v>
      </c>
      <c r="D15" s="35"/>
      <c r="E15" s="35"/>
      <c r="F15" s="71">
        <f t="shared" si="5"/>
        <v>0</v>
      </c>
      <c r="G15" s="35"/>
      <c r="H15" s="35"/>
      <c r="I15" s="71">
        <f t="shared" si="3"/>
        <v>0</v>
      </c>
      <c r="J15" s="35"/>
    </row>
    <row r="16" spans="1:10" ht="18" customHeight="1">
      <c r="A16" s="73" t="s">
        <v>101</v>
      </c>
      <c r="B16" s="35"/>
      <c r="C16" s="71">
        <f t="shared" si="1"/>
        <v>0</v>
      </c>
      <c r="D16" s="35"/>
      <c r="E16" s="35"/>
      <c r="F16" s="71">
        <f t="shared" si="5"/>
        <v>0</v>
      </c>
      <c r="G16" s="35"/>
      <c r="H16" s="35"/>
      <c r="I16" s="71">
        <f t="shared" si="3"/>
        <v>0</v>
      </c>
      <c r="J16" s="35"/>
    </row>
    <row r="17" spans="1:10" ht="18" customHeight="1">
      <c r="A17" s="73" t="s">
        <v>102</v>
      </c>
      <c r="B17" s="35">
        <v>110600</v>
      </c>
      <c r="C17" s="71">
        <f t="shared" si="1"/>
        <v>-34507.200000000012</v>
      </c>
      <c r="D17" s="35">
        <f>B17*0.688</f>
        <v>76092.799999999988</v>
      </c>
      <c r="E17" s="35">
        <v>134350</v>
      </c>
      <c r="F17" s="71">
        <f t="shared" si="5"/>
        <v>100754.69</v>
      </c>
      <c r="G17" s="35">
        <v>235104.69</v>
      </c>
      <c r="H17" s="35">
        <v>113339</v>
      </c>
      <c r="I17" s="71">
        <f t="shared" si="3"/>
        <v>249252.78000000003</v>
      </c>
      <c r="J17" s="35">
        <v>362591.78</v>
      </c>
    </row>
    <row r="18" spans="1:10" ht="18" customHeight="1">
      <c r="A18" s="73" t="s">
        <v>103</v>
      </c>
      <c r="B18" s="35">
        <v>283749</v>
      </c>
      <c r="C18" s="71">
        <f t="shared" si="1"/>
        <v>-88529.688000000024</v>
      </c>
      <c r="D18" s="126">
        <f>B18*0.688</f>
        <v>195219.31199999998</v>
      </c>
      <c r="E18" s="35">
        <v>328705</v>
      </c>
      <c r="F18" s="71">
        <f t="shared" si="5"/>
        <v>-328705</v>
      </c>
      <c r="G18" s="35"/>
      <c r="H18" s="35">
        <v>298697</v>
      </c>
      <c r="I18" s="71">
        <f t="shared" si="3"/>
        <v>-298697</v>
      </c>
      <c r="J18" s="35"/>
    </row>
    <row r="19" spans="1:10" ht="18" customHeight="1">
      <c r="A19" s="73" t="s">
        <v>104</v>
      </c>
      <c r="B19" s="35"/>
      <c r="C19" s="71">
        <f t="shared" si="1"/>
        <v>0</v>
      </c>
      <c r="D19" s="35"/>
      <c r="E19" s="35"/>
      <c r="F19" s="71">
        <f t="shared" si="5"/>
        <v>0</v>
      </c>
      <c r="G19" s="35"/>
      <c r="H19" s="35"/>
      <c r="I19" s="71">
        <f t="shared" si="3"/>
        <v>0</v>
      </c>
      <c r="J19" s="35"/>
    </row>
    <row r="20" spans="1:10" ht="18" customHeight="1">
      <c r="A20" s="74" t="s">
        <v>105</v>
      </c>
      <c r="B20" s="35">
        <v>127900</v>
      </c>
      <c r="C20" s="71">
        <f t="shared" si="1"/>
        <v>0</v>
      </c>
      <c r="D20" s="35">
        <v>127900</v>
      </c>
      <c r="E20" s="35">
        <v>83115</v>
      </c>
      <c r="F20" s="71">
        <f t="shared" si="5"/>
        <v>0</v>
      </c>
      <c r="G20" s="35">
        <f>83115</f>
        <v>83115</v>
      </c>
      <c r="H20" s="35">
        <v>57950</v>
      </c>
      <c r="I20" s="71">
        <f t="shared" si="3"/>
        <v>0</v>
      </c>
      <c r="J20" s="35">
        <v>57950</v>
      </c>
    </row>
    <row r="21" spans="1:10" ht="18" customHeight="1">
      <c r="A21" s="73" t="s">
        <v>106</v>
      </c>
      <c r="B21" s="35">
        <v>7874</v>
      </c>
      <c r="C21" s="71">
        <f t="shared" si="1"/>
        <v>-7505</v>
      </c>
      <c r="D21" s="35">
        <v>369</v>
      </c>
      <c r="E21" s="35">
        <v>2036</v>
      </c>
      <c r="F21" s="71">
        <f t="shared" si="5"/>
        <v>0</v>
      </c>
      <c r="G21" s="35">
        <v>2036</v>
      </c>
      <c r="H21" s="35">
        <v>5024</v>
      </c>
      <c r="I21" s="71">
        <f t="shared" si="3"/>
        <v>-0.1999999999998181</v>
      </c>
      <c r="J21" s="35">
        <f>1802+3221.8</f>
        <v>5023.8</v>
      </c>
    </row>
    <row r="22" spans="1:10" ht="18" customHeight="1">
      <c r="A22" s="75" t="s">
        <v>107</v>
      </c>
      <c r="B22" s="35">
        <v>106754</v>
      </c>
      <c r="C22" s="71">
        <f t="shared" si="1"/>
        <v>0</v>
      </c>
      <c r="D22" s="35">
        <v>106754</v>
      </c>
      <c r="E22" s="35">
        <v>111367</v>
      </c>
      <c r="F22" s="71">
        <f t="shared" si="5"/>
        <v>0</v>
      </c>
      <c r="G22" s="35">
        <f>111367</f>
        <v>111367</v>
      </c>
      <c r="H22" s="35">
        <v>28942</v>
      </c>
      <c r="I22" s="71">
        <f t="shared" si="3"/>
        <v>0</v>
      </c>
      <c r="J22" s="35">
        <v>28942</v>
      </c>
    </row>
    <row r="23" spans="1:10" ht="18" customHeight="1">
      <c r="A23" s="73" t="s">
        <v>108</v>
      </c>
      <c r="B23" s="35">
        <v>242072</v>
      </c>
      <c r="C23" s="71">
        <f t="shared" si="1"/>
        <v>0</v>
      </c>
      <c r="D23" s="35">
        <v>242072</v>
      </c>
      <c r="E23" s="35">
        <v>371822</v>
      </c>
      <c r="F23" s="71">
        <f t="shared" si="5"/>
        <v>0.5</v>
      </c>
      <c r="G23" s="35">
        <f>134749.5+237073</f>
        <v>371822.5</v>
      </c>
      <c r="H23" s="35">
        <v>91127</v>
      </c>
      <c r="I23" s="71">
        <f t="shared" si="3"/>
        <v>-0.30000000000291038</v>
      </c>
      <c r="J23" s="35">
        <v>91126.7</v>
      </c>
    </row>
    <row r="24" spans="1:10" ht="18" customHeight="1">
      <c r="A24" s="74" t="s">
        <v>109</v>
      </c>
      <c r="B24" s="35">
        <v>165296</v>
      </c>
      <c r="C24" s="71">
        <f t="shared" si="1"/>
        <v>0</v>
      </c>
      <c r="D24" s="35">
        <v>165296</v>
      </c>
      <c r="E24" s="35">
        <v>273699</v>
      </c>
      <c r="F24" s="71">
        <f t="shared" si="5"/>
        <v>-2.0000000018626451E-2</v>
      </c>
      <c r="G24" s="35">
        <v>273698.98</v>
      </c>
      <c r="H24" s="35">
        <v>338895</v>
      </c>
      <c r="I24" s="71">
        <f t="shared" si="3"/>
        <v>0</v>
      </c>
      <c r="J24" s="35">
        <v>338895</v>
      </c>
    </row>
    <row r="25" spans="1:10" ht="18" customHeight="1">
      <c r="A25" s="73" t="s">
        <v>110</v>
      </c>
      <c r="B25" s="35"/>
      <c r="C25" s="71">
        <f t="shared" si="1"/>
        <v>0</v>
      </c>
      <c r="D25" s="35"/>
      <c r="E25" s="35"/>
      <c r="F25" s="71">
        <f t="shared" si="5"/>
        <v>0</v>
      </c>
      <c r="G25" s="35"/>
      <c r="H25" s="35"/>
      <c r="I25" s="71">
        <f t="shared" si="3"/>
        <v>0</v>
      </c>
      <c r="J25" s="35"/>
    </row>
    <row r="26" spans="1:10" ht="18" customHeight="1">
      <c r="A26" s="73" t="s">
        <v>111</v>
      </c>
      <c r="B26" s="35">
        <v>41979</v>
      </c>
      <c r="C26" s="71">
        <f t="shared" si="1"/>
        <v>59660.149999999994</v>
      </c>
      <c r="D26" s="35">
        <v>101639.15</v>
      </c>
      <c r="E26" s="35">
        <v>60000</v>
      </c>
      <c r="F26" s="71">
        <f t="shared" si="5"/>
        <v>66878.95</v>
      </c>
      <c r="G26" s="35">
        <v>126878.95</v>
      </c>
      <c r="H26" s="35">
        <v>13872</v>
      </c>
      <c r="I26" s="71">
        <f t="shared" si="3"/>
        <v>154413</v>
      </c>
      <c r="J26" s="35">
        <v>168285</v>
      </c>
    </row>
    <row r="27" spans="1:10" ht="18" customHeight="1">
      <c r="A27" s="73" t="s">
        <v>112</v>
      </c>
      <c r="B27" s="35">
        <v>60733</v>
      </c>
      <c r="C27" s="71">
        <f t="shared" si="1"/>
        <v>-18476.370000000003</v>
      </c>
      <c r="D27" s="35">
        <v>42256.63</v>
      </c>
      <c r="E27" s="35">
        <v>75127</v>
      </c>
      <c r="F27" s="71">
        <f t="shared" si="5"/>
        <v>-23794.400000000001</v>
      </c>
      <c r="G27" s="35">
        <v>51332.6</v>
      </c>
      <c r="H27" s="35">
        <v>92591</v>
      </c>
      <c r="I27" s="71">
        <f t="shared" si="3"/>
        <v>-26249.690000000002</v>
      </c>
      <c r="J27" s="35">
        <v>66341.31</v>
      </c>
    </row>
    <row r="28" spans="1:10" ht="18" customHeight="1">
      <c r="A28" s="73" t="s">
        <v>113</v>
      </c>
      <c r="B28" s="35"/>
      <c r="C28" s="71">
        <f t="shared" si="1"/>
        <v>0</v>
      </c>
      <c r="D28" s="35"/>
      <c r="E28" s="35"/>
      <c r="F28" s="71">
        <f t="shared" si="5"/>
        <v>0</v>
      </c>
      <c r="G28" s="35"/>
      <c r="H28" s="35"/>
      <c r="I28" s="71">
        <f t="shared" si="3"/>
        <v>0</v>
      </c>
      <c r="J28" s="35"/>
    </row>
    <row r="29" spans="1:10" ht="18" customHeight="1">
      <c r="A29" s="73" t="s">
        <v>114</v>
      </c>
      <c r="B29" s="35">
        <v>13780</v>
      </c>
      <c r="C29" s="71">
        <f t="shared" si="1"/>
        <v>0</v>
      </c>
      <c r="D29" s="35">
        <v>13780</v>
      </c>
      <c r="E29" s="35">
        <v>17080</v>
      </c>
      <c r="F29" s="71">
        <f t="shared" si="5"/>
        <v>0</v>
      </c>
      <c r="G29" s="35">
        <v>17080</v>
      </c>
      <c r="H29" s="35">
        <v>7560</v>
      </c>
      <c r="I29" s="71">
        <f t="shared" si="3"/>
        <v>0</v>
      </c>
      <c r="J29" s="35">
        <v>7560</v>
      </c>
    </row>
    <row r="30" spans="1:10" ht="18" customHeight="1">
      <c r="A30" s="73" t="s">
        <v>115</v>
      </c>
      <c r="B30" s="35"/>
      <c r="C30" s="71">
        <f t="shared" si="1"/>
        <v>0</v>
      </c>
      <c r="D30" s="35"/>
      <c r="E30" s="35"/>
      <c r="F30" s="71">
        <f t="shared" si="5"/>
        <v>0</v>
      </c>
      <c r="G30" s="35"/>
      <c r="H30" s="35"/>
      <c r="I30" s="71">
        <f t="shared" si="3"/>
        <v>0</v>
      </c>
      <c r="J30" s="35"/>
    </row>
    <row r="31" spans="1:10" ht="18" customHeight="1">
      <c r="A31" s="73" t="s">
        <v>116</v>
      </c>
      <c r="B31" s="35">
        <v>90058</v>
      </c>
      <c r="C31" s="71">
        <f t="shared" si="1"/>
        <v>-8746.679999999993</v>
      </c>
      <c r="D31" s="35">
        <v>81311.320000000007</v>
      </c>
      <c r="E31" s="35">
        <v>103320</v>
      </c>
      <c r="F31" s="71">
        <f t="shared" si="5"/>
        <v>-1816.8399999999965</v>
      </c>
      <c r="G31" s="35">
        <v>101503.16</v>
      </c>
      <c r="H31" s="35">
        <v>149293</v>
      </c>
      <c r="I31" s="71">
        <f t="shared" si="3"/>
        <v>-14665</v>
      </c>
      <c r="J31" s="35">
        <v>134628</v>
      </c>
    </row>
    <row r="32" spans="1:10" ht="18" customHeight="1">
      <c r="A32" s="73" t="s">
        <v>117</v>
      </c>
      <c r="B32" s="35">
        <v>151767</v>
      </c>
      <c r="C32" s="71">
        <f t="shared" si="1"/>
        <v>-142073.70000000001</v>
      </c>
      <c r="D32" s="35">
        <f>463.3+9230</f>
        <v>9693.2999999999993</v>
      </c>
      <c r="E32" s="35">
        <v>170122</v>
      </c>
      <c r="F32" s="71">
        <f t="shared" si="5"/>
        <v>0</v>
      </c>
      <c r="G32" s="35">
        <v>170122</v>
      </c>
      <c r="H32" s="35">
        <v>119930</v>
      </c>
      <c r="I32" s="71">
        <f t="shared" si="3"/>
        <v>-119930</v>
      </c>
      <c r="J32" s="35"/>
    </row>
    <row r="33" spans="1:10" ht="18" customHeight="1">
      <c r="A33" s="74" t="s">
        <v>118</v>
      </c>
      <c r="B33" s="35"/>
      <c r="C33" s="71">
        <f t="shared" si="1"/>
        <v>0</v>
      </c>
      <c r="D33" s="35"/>
      <c r="E33" s="35">
        <v>50600</v>
      </c>
      <c r="F33" s="71">
        <f t="shared" si="5"/>
        <v>-50600</v>
      </c>
      <c r="G33" s="35">
        <v>0</v>
      </c>
      <c r="H33" s="35"/>
      <c r="I33" s="71">
        <f t="shared" si="3"/>
        <v>0</v>
      </c>
      <c r="J33" s="35"/>
    </row>
    <row r="34" spans="1:10" ht="18" customHeight="1">
      <c r="A34" s="73" t="s">
        <v>119</v>
      </c>
      <c r="B34" s="35">
        <v>9365</v>
      </c>
      <c r="C34" s="71">
        <f t="shared" si="1"/>
        <v>8055</v>
      </c>
      <c r="D34" s="35">
        <f>16870+550</f>
        <v>17420</v>
      </c>
      <c r="E34" s="35"/>
      <c r="F34" s="71">
        <f t="shared" si="5"/>
        <v>100</v>
      </c>
      <c r="G34" s="35">
        <v>100</v>
      </c>
      <c r="H34" s="35">
        <v>1835</v>
      </c>
      <c r="I34" s="71">
        <f t="shared" si="3"/>
        <v>0</v>
      </c>
      <c r="J34" s="35">
        <v>1835</v>
      </c>
    </row>
    <row r="35" spans="1:10" ht="18" customHeight="1">
      <c r="A35" s="73" t="s">
        <v>120</v>
      </c>
      <c r="B35" s="35"/>
      <c r="C35" s="71">
        <f t="shared" si="1"/>
        <v>0</v>
      </c>
      <c r="D35" s="35"/>
      <c r="E35" s="35"/>
      <c r="F35" s="71">
        <f t="shared" si="5"/>
        <v>0</v>
      </c>
      <c r="G35" s="35"/>
      <c r="H35" s="35"/>
      <c r="I35" s="71">
        <f t="shared" si="3"/>
        <v>0</v>
      </c>
      <c r="J35" s="35"/>
    </row>
    <row r="36" spans="1:10" ht="18" customHeight="1">
      <c r="A36" s="73" t="s">
        <v>121</v>
      </c>
      <c r="B36" s="35"/>
      <c r="C36" s="71">
        <f t="shared" si="1"/>
        <v>329973.70999999996</v>
      </c>
      <c r="D36" s="35">
        <f>164677.71+165296</f>
        <v>329973.70999999996</v>
      </c>
      <c r="E36" s="35">
        <v>250000</v>
      </c>
      <c r="F36" s="71">
        <f t="shared" si="5"/>
        <v>-55601.390000000014</v>
      </c>
      <c r="G36" s="35">
        <v>194398.61</v>
      </c>
      <c r="H36" s="35">
        <v>424000</v>
      </c>
      <c r="I36" s="71">
        <f t="shared" si="3"/>
        <v>-203734.14</v>
      </c>
      <c r="J36" s="35">
        <v>220265.86</v>
      </c>
    </row>
    <row r="37" spans="1:10" s="64" customFormat="1" ht="18" customHeight="1">
      <c r="A37" s="76" t="s">
        <v>122</v>
      </c>
      <c r="B37" s="71">
        <f>SUM(B38:B43)</f>
        <v>83318</v>
      </c>
      <c r="C37" s="71">
        <f t="shared" si="1"/>
        <v>0</v>
      </c>
      <c r="D37" s="71">
        <v>83318</v>
      </c>
      <c r="E37" s="71">
        <f t="shared" ref="E37:J37" si="6">SUM(E38:E43)</f>
        <v>62919</v>
      </c>
      <c r="F37" s="71">
        <f t="shared" si="5"/>
        <v>-45567</v>
      </c>
      <c r="G37" s="71">
        <f t="shared" si="6"/>
        <v>17352</v>
      </c>
      <c r="H37" s="71">
        <f t="shared" si="6"/>
        <v>24501</v>
      </c>
      <c r="I37" s="71">
        <f t="shared" si="3"/>
        <v>-6528</v>
      </c>
      <c r="J37" s="71">
        <f t="shared" si="6"/>
        <v>17973</v>
      </c>
    </row>
    <row r="38" spans="1:10" ht="18" customHeight="1">
      <c r="A38" s="73" t="s">
        <v>123</v>
      </c>
      <c r="B38" s="35"/>
      <c r="C38" s="71">
        <f t="shared" si="1"/>
        <v>0</v>
      </c>
      <c r="D38" s="35"/>
      <c r="E38" s="35"/>
      <c r="F38" s="71">
        <f t="shared" si="5"/>
        <v>0</v>
      </c>
      <c r="G38" s="35"/>
      <c r="H38" s="35"/>
      <c r="I38" s="71">
        <f t="shared" si="3"/>
        <v>0</v>
      </c>
      <c r="J38" s="35"/>
    </row>
    <row r="39" spans="1:10" ht="18" customHeight="1">
      <c r="A39" s="73" t="s">
        <v>124</v>
      </c>
      <c r="B39" s="35"/>
      <c r="C39" s="71">
        <f t="shared" si="1"/>
        <v>0</v>
      </c>
      <c r="D39" s="35"/>
      <c r="E39" s="35"/>
      <c r="F39" s="71">
        <f t="shared" si="5"/>
        <v>0</v>
      </c>
      <c r="G39" s="35"/>
      <c r="H39" s="35"/>
      <c r="I39" s="71">
        <f t="shared" si="3"/>
        <v>0</v>
      </c>
      <c r="J39" s="35"/>
    </row>
    <row r="40" spans="1:10" ht="18" customHeight="1">
      <c r="A40" s="73" t="s">
        <v>125</v>
      </c>
      <c r="B40" s="35"/>
      <c r="C40" s="71">
        <f t="shared" si="1"/>
        <v>0</v>
      </c>
      <c r="D40" s="35"/>
      <c r="E40" s="35"/>
      <c r="F40" s="71">
        <f t="shared" si="5"/>
        <v>0</v>
      </c>
      <c r="G40" s="35"/>
      <c r="H40" s="35"/>
      <c r="I40" s="71">
        <f t="shared" si="3"/>
        <v>0</v>
      </c>
      <c r="J40" s="35"/>
    </row>
    <row r="41" spans="1:10" ht="18" customHeight="1">
      <c r="A41" s="73" t="s">
        <v>126</v>
      </c>
      <c r="B41" s="35"/>
      <c r="C41" s="71">
        <f t="shared" si="1"/>
        <v>0</v>
      </c>
      <c r="D41" s="35"/>
      <c r="E41" s="35"/>
      <c r="F41" s="71">
        <f t="shared" si="5"/>
        <v>0</v>
      </c>
      <c r="G41" s="35"/>
      <c r="H41" s="35"/>
      <c r="I41" s="71">
        <f t="shared" si="3"/>
        <v>0</v>
      </c>
      <c r="J41" s="35"/>
    </row>
    <row r="42" spans="1:10" ht="18" customHeight="1">
      <c r="A42" s="73" t="s">
        <v>127</v>
      </c>
      <c r="B42" s="35">
        <v>83318</v>
      </c>
      <c r="C42" s="71">
        <f t="shared" si="1"/>
        <v>0</v>
      </c>
      <c r="D42" s="35">
        <v>83318</v>
      </c>
      <c r="E42" s="35">
        <v>62919</v>
      </c>
      <c r="F42" s="71">
        <f t="shared" si="5"/>
        <v>-45567</v>
      </c>
      <c r="G42" s="35">
        <f>17352</f>
        <v>17352</v>
      </c>
      <c r="H42" s="35">
        <v>24501</v>
      </c>
      <c r="I42" s="71">
        <f t="shared" si="3"/>
        <v>-6528</v>
      </c>
      <c r="J42" s="35">
        <v>17973</v>
      </c>
    </row>
    <row r="43" spans="1:10" ht="18" customHeight="1">
      <c r="A43" s="73" t="s">
        <v>128</v>
      </c>
      <c r="B43" s="35"/>
      <c r="C43" s="71">
        <f t="shared" si="1"/>
        <v>0</v>
      </c>
      <c r="D43" s="35"/>
      <c r="E43" s="35"/>
      <c r="F43" s="71">
        <f t="shared" si="5"/>
        <v>0</v>
      </c>
      <c r="G43" s="35"/>
      <c r="H43" s="35"/>
      <c r="I43" s="71">
        <f t="shared" si="3"/>
        <v>0</v>
      </c>
      <c r="J43" s="35"/>
    </row>
    <row r="44" spans="1:10" s="64" customFormat="1" ht="18" customHeight="1">
      <c r="A44" s="77" t="s">
        <v>129</v>
      </c>
      <c r="B44" s="71">
        <v>1589603</v>
      </c>
      <c r="C44" s="71">
        <f t="shared" si="1"/>
        <v>-600938.92000000004</v>
      </c>
      <c r="D44" s="71">
        <v>988664.08</v>
      </c>
      <c r="E44" s="71">
        <v>1637452</v>
      </c>
      <c r="F44" s="71">
        <f t="shared" si="5"/>
        <v>-551898.48</v>
      </c>
      <c r="G44" s="71">
        <v>1085553.52</v>
      </c>
      <c r="H44" s="71">
        <v>1323925</v>
      </c>
      <c r="I44" s="71">
        <f t="shared" si="3"/>
        <v>-127038.30000000005</v>
      </c>
      <c r="J44" s="71">
        <v>1196886.7</v>
      </c>
    </row>
    <row r="45" spans="1:10" ht="18" customHeight="1">
      <c r="A45" s="72" t="s">
        <v>47</v>
      </c>
      <c r="B45" s="35">
        <v>1158954</v>
      </c>
      <c r="C45" s="71">
        <f t="shared" si="1"/>
        <v>-1158954</v>
      </c>
      <c r="D45" s="35"/>
      <c r="E45" s="35">
        <v>1196835</v>
      </c>
      <c r="F45" s="71">
        <f t="shared" si="5"/>
        <v>-1196835</v>
      </c>
      <c r="G45" s="35"/>
      <c r="H45" s="35">
        <v>1196835</v>
      </c>
      <c r="I45" s="71">
        <f t="shared" si="3"/>
        <v>-1196835</v>
      </c>
      <c r="J45" s="35"/>
    </row>
    <row r="46" spans="1:10" ht="18" customHeight="1">
      <c r="A46" s="72" t="s">
        <v>48</v>
      </c>
      <c r="B46" s="35">
        <v>205222</v>
      </c>
      <c r="C46" s="71">
        <f t="shared" si="1"/>
        <v>-205222</v>
      </c>
      <c r="D46" s="35"/>
      <c r="E46" s="35">
        <v>207414</v>
      </c>
      <c r="F46" s="71">
        <f t="shared" si="5"/>
        <v>-207414</v>
      </c>
      <c r="G46" s="35"/>
      <c r="H46" s="35">
        <v>44588</v>
      </c>
      <c r="I46" s="71">
        <f t="shared" si="3"/>
        <v>-44588</v>
      </c>
      <c r="J46" s="35"/>
    </row>
    <row r="47" spans="1:10" ht="18" customHeight="1">
      <c r="A47" s="72" t="s">
        <v>49</v>
      </c>
      <c r="B47" s="35">
        <v>208913</v>
      </c>
      <c r="C47" s="71">
        <f t="shared" si="1"/>
        <v>-208913</v>
      </c>
      <c r="D47" s="35"/>
      <c r="E47" s="35">
        <v>216689</v>
      </c>
      <c r="F47" s="71">
        <f t="shared" si="5"/>
        <v>-216689</v>
      </c>
      <c r="G47" s="35"/>
      <c r="H47" s="35">
        <v>65988</v>
      </c>
      <c r="I47" s="71">
        <f t="shared" si="3"/>
        <v>-65988</v>
      </c>
      <c r="J47" s="35"/>
    </row>
    <row r="48" spans="1:10" ht="18" customHeight="1">
      <c r="A48" s="72" t="s">
        <v>50</v>
      </c>
      <c r="B48" s="35">
        <v>16514</v>
      </c>
      <c r="C48" s="71">
        <f t="shared" si="1"/>
        <v>-16514</v>
      </c>
      <c r="D48" s="35"/>
      <c r="E48" s="35">
        <v>16514</v>
      </c>
      <c r="F48" s="71">
        <f t="shared" si="5"/>
        <v>-16514</v>
      </c>
      <c r="G48" s="35"/>
      <c r="H48" s="35">
        <v>16514</v>
      </c>
      <c r="I48" s="71">
        <f t="shared" si="3"/>
        <v>-16514</v>
      </c>
      <c r="J48" s="35"/>
    </row>
    <row r="49" spans="1:10" ht="18" customHeight="1">
      <c r="A49" s="73" t="s">
        <v>130</v>
      </c>
      <c r="B49" s="35"/>
      <c r="C49" s="71">
        <f t="shared" si="1"/>
        <v>0</v>
      </c>
      <c r="D49" s="35"/>
      <c r="E49" s="35"/>
      <c r="F49" s="71">
        <f t="shared" si="5"/>
        <v>0</v>
      </c>
      <c r="G49" s="35"/>
      <c r="H49" s="35"/>
      <c r="I49" s="71">
        <f t="shared" si="3"/>
        <v>0</v>
      </c>
      <c r="J49" s="35"/>
    </row>
    <row r="50" spans="1:10" ht="18" customHeight="1">
      <c r="A50" s="78" t="s">
        <v>131</v>
      </c>
      <c r="B50" s="35"/>
      <c r="C50" s="71"/>
      <c r="D50" s="126"/>
      <c r="E50" s="35"/>
      <c r="F50" s="71"/>
      <c r="G50" s="126"/>
      <c r="H50" s="35"/>
      <c r="I50" s="71"/>
      <c r="J50" s="126"/>
    </row>
    <row r="51" spans="1:10" s="64" customFormat="1" ht="18" customHeight="1">
      <c r="A51" s="79" t="s">
        <v>132</v>
      </c>
      <c r="B51" s="71">
        <f>B52+B54-B53</f>
        <v>909263</v>
      </c>
      <c r="C51" s="71">
        <f t="shared" si="1"/>
        <v>-283690.0560000001</v>
      </c>
      <c r="D51" s="126">
        <f>B51*0.688</f>
        <v>625572.9439999999</v>
      </c>
      <c r="E51" s="71">
        <v>900740</v>
      </c>
      <c r="F51" s="71">
        <f t="shared" si="5"/>
        <v>-224284.26</v>
      </c>
      <c r="G51" s="71">
        <f>E51*0.751</f>
        <v>676455.74</v>
      </c>
      <c r="H51" s="71">
        <f>SUM(H52:H54)</f>
        <v>881541</v>
      </c>
      <c r="I51" s="71">
        <f t="shared" si="3"/>
        <v>-105784.92000000004</v>
      </c>
      <c r="J51" s="71">
        <f>H51*0.88</f>
        <v>775756.08</v>
      </c>
    </row>
    <row r="52" spans="1:10" ht="18" customHeight="1">
      <c r="A52" s="41" t="s">
        <v>133</v>
      </c>
      <c r="B52" s="35">
        <v>908349</v>
      </c>
      <c r="C52" s="71">
        <f t="shared" si="1"/>
        <v>-908349</v>
      </c>
      <c r="D52" s="35"/>
      <c r="E52" s="35">
        <v>900140</v>
      </c>
      <c r="F52" s="71">
        <f t="shared" si="5"/>
        <v>-900140</v>
      </c>
      <c r="G52" s="35"/>
      <c r="H52" s="35">
        <v>880849</v>
      </c>
      <c r="I52" s="71">
        <f t="shared" si="3"/>
        <v>-880849</v>
      </c>
      <c r="J52" s="35"/>
    </row>
    <row r="53" spans="1:10" ht="18" customHeight="1">
      <c r="A53" s="41" t="s">
        <v>134</v>
      </c>
      <c r="B53" s="35"/>
      <c r="C53" s="71">
        <f t="shared" si="1"/>
        <v>0</v>
      </c>
      <c r="D53" s="35"/>
      <c r="E53" s="35"/>
      <c r="F53" s="71">
        <f t="shared" si="5"/>
        <v>0</v>
      </c>
      <c r="G53" s="35"/>
      <c r="H53" s="35"/>
      <c r="I53" s="71">
        <f t="shared" si="3"/>
        <v>0</v>
      </c>
      <c r="J53" s="35"/>
    </row>
    <row r="54" spans="1:10" ht="18" customHeight="1">
      <c r="A54" s="41" t="s">
        <v>135</v>
      </c>
      <c r="B54" s="35">
        <v>914</v>
      </c>
      <c r="C54" s="71">
        <f t="shared" si="1"/>
        <v>-914</v>
      </c>
      <c r="D54" s="35"/>
      <c r="E54" s="35">
        <v>600</v>
      </c>
      <c r="F54" s="71">
        <f t="shared" si="5"/>
        <v>-600</v>
      </c>
      <c r="G54" s="35"/>
      <c r="H54" s="35">
        <v>692</v>
      </c>
      <c r="I54" s="71">
        <f t="shared" si="3"/>
        <v>-692</v>
      </c>
      <c r="J54" s="35"/>
    </row>
    <row r="55" spans="1:10" s="64" customFormat="1" ht="18" customHeight="1">
      <c r="A55" s="79" t="s">
        <v>136</v>
      </c>
      <c r="B55" s="71">
        <f>B5+B12+B37+B44+B51</f>
        <v>9101177</v>
      </c>
      <c r="C55" s="71">
        <f t="shared" si="1"/>
        <v>-964392.06400000025</v>
      </c>
      <c r="D55" s="71">
        <f>D5+D12+D37+D44+D51+D50</f>
        <v>8136784.9359999998</v>
      </c>
      <c r="E55" s="71">
        <f t="shared" ref="E55:H55" si="7">E5+E12+E37+E44+E51</f>
        <v>10535914</v>
      </c>
      <c r="F55" s="71">
        <f t="shared" si="5"/>
        <v>-1165665.9100000001</v>
      </c>
      <c r="G55" s="71">
        <f>G5+G12+G37+G44+G51+G50</f>
        <v>9370248.0899999999</v>
      </c>
      <c r="H55" s="71">
        <f t="shared" si="7"/>
        <v>12689702</v>
      </c>
      <c r="I55" s="71">
        <f t="shared" si="3"/>
        <v>-2346959.7000000011</v>
      </c>
      <c r="J55" s="71">
        <f>J5+J12+J37+J44+J51+J50</f>
        <v>10342742.299999999</v>
      </c>
    </row>
  </sheetData>
  <mergeCells count="1">
    <mergeCell ref="A2:J2"/>
  </mergeCells>
  <phoneticPr fontId="34" type="noConversion"/>
  <pageMargins left="0.62986111111111098" right="0.511811023622047" top="0.74803149606299202" bottom="0.74803149606299202" header="0.31496062992126" footer="0.31496062992126"/>
  <pageSetup paperSize="9" orientation="landscape" r:id="rId1"/>
  <legacyDrawing r:id="rId2"/>
</worksheet>
</file>

<file path=xl/worksheets/sheet5.xml><?xml version="1.0" encoding="utf-8"?>
<worksheet xmlns="http://schemas.openxmlformats.org/spreadsheetml/2006/main" xmlns:r="http://schemas.openxmlformats.org/officeDocument/2006/relationships">
  <dimension ref="A1:D25"/>
  <sheetViews>
    <sheetView workbookViewId="0">
      <selection activeCell="K18" sqref="K18"/>
    </sheetView>
  </sheetViews>
  <sheetFormatPr defaultColWidth="9" defaultRowHeight="14.4"/>
  <cols>
    <col min="1" max="1" width="37.109375" customWidth="1"/>
    <col min="2" max="2" width="16.44140625" style="46" customWidth="1"/>
    <col min="3" max="3" width="16.21875" style="46" customWidth="1"/>
    <col min="4" max="4" width="16.33203125" style="46" customWidth="1"/>
  </cols>
  <sheetData>
    <row r="1" spans="1:4" ht="28.2" customHeight="1">
      <c r="A1" s="47" t="s">
        <v>137</v>
      </c>
      <c r="B1" s="48"/>
    </row>
    <row r="2" spans="1:4" ht="31.2" customHeight="1">
      <c r="A2" s="174" t="s">
        <v>278</v>
      </c>
      <c r="B2" s="174"/>
      <c r="C2" s="174"/>
      <c r="D2" s="174"/>
    </row>
    <row r="3" spans="1:4">
      <c r="A3" s="175"/>
      <c r="B3" s="176"/>
    </row>
    <row r="4" spans="1:4" ht="43.5" customHeight="1">
      <c r="A4" s="49" t="s">
        <v>138</v>
      </c>
      <c r="B4" s="50" t="s">
        <v>139</v>
      </c>
      <c r="C4" s="50" t="s">
        <v>19</v>
      </c>
      <c r="D4" s="50" t="s">
        <v>20</v>
      </c>
    </row>
    <row r="5" spans="1:4" ht="31.05" customHeight="1">
      <c r="A5" s="51" t="s">
        <v>140</v>
      </c>
      <c r="B5" s="52"/>
      <c r="C5" s="52"/>
      <c r="D5" s="52"/>
    </row>
    <row r="6" spans="1:4" ht="31.05" customHeight="1">
      <c r="A6" s="53" t="s">
        <v>141</v>
      </c>
      <c r="B6" s="54">
        <v>1067</v>
      </c>
      <c r="C6" s="54">
        <v>1032</v>
      </c>
      <c r="D6" s="54">
        <v>1067</v>
      </c>
    </row>
    <row r="7" spans="1:4" ht="31.05" customHeight="1">
      <c r="A7" s="53" t="s">
        <v>142</v>
      </c>
      <c r="B7" s="54">
        <v>56</v>
      </c>
      <c r="C7" s="54">
        <v>63</v>
      </c>
      <c r="D7" s="54">
        <v>65</v>
      </c>
    </row>
    <row r="8" spans="1:4" ht="31.05" customHeight="1">
      <c r="A8" s="55" t="s">
        <v>143</v>
      </c>
      <c r="B8" s="56"/>
      <c r="C8" s="56"/>
      <c r="D8" s="56"/>
    </row>
    <row r="9" spans="1:4" ht="31.05" customHeight="1">
      <c r="A9" s="155" t="s">
        <v>144</v>
      </c>
      <c r="B9" s="57">
        <f>9/56</f>
        <v>0.16071428571428573</v>
      </c>
      <c r="C9" s="58">
        <f>9/63</f>
        <v>0.14285714285714285</v>
      </c>
      <c r="D9" s="57">
        <f>9/65</f>
        <v>0.13846153846153847</v>
      </c>
    </row>
    <row r="10" spans="1:4" ht="31.05" customHeight="1">
      <c r="A10" s="55" t="s">
        <v>145</v>
      </c>
      <c r="B10" s="59"/>
      <c r="C10" s="59"/>
      <c r="D10" s="59"/>
    </row>
    <row r="11" spans="1:4" ht="31.05" customHeight="1">
      <c r="A11" s="53" t="s">
        <v>146</v>
      </c>
      <c r="B11" s="60">
        <f>1067/47</f>
        <v>22.702127659574469</v>
      </c>
      <c r="C11" s="60">
        <f>C6/54</f>
        <v>19.111111111111111</v>
      </c>
      <c r="D11" s="60">
        <f>1067/56</f>
        <v>19.053571428571427</v>
      </c>
    </row>
    <row r="12" spans="1:4" ht="31.05" customHeight="1">
      <c r="A12" s="53" t="s">
        <v>147</v>
      </c>
      <c r="B12" s="59"/>
      <c r="C12" s="59"/>
      <c r="D12" s="59"/>
    </row>
    <row r="13" spans="1:4" ht="31.05" customHeight="1">
      <c r="A13" s="53" t="s">
        <v>148</v>
      </c>
      <c r="B13" s="59"/>
      <c r="C13" s="59"/>
      <c r="D13" s="59"/>
    </row>
    <row r="14" spans="1:4" ht="31.05" customHeight="1">
      <c r="A14" s="55" t="s">
        <v>149</v>
      </c>
      <c r="B14" s="61">
        <f>B15+B16+B17+B18+B20+B19</f>
        <v>8136784.9500000002</v>
      </c>
      <c r="C14" s="61">
        <f>C15+C16+C17+C18+C20+C19</f>
        <v>9370248.0899999999</v>
      </c>
      <c r="D14" s="61">
        <f>D15+D16+D17+D18+D20+D19</f>
        <v>11370879.299999999</v>
      </c>
    </row>
    <row r="15" spans="1:4" ht="31.05" customHeight="1">
      <c r="A15" s="53" t="s">
        <v>150</v>
      </c>
      <c r="B15" s="62">
        <v>4705614</v>
      </c>
      <c r="C15" s="62">
        <v>5713882.9000000004</v>
      </c>
      <c r="D15" s="62">
        <v>7759537</v>
      </c>
    </row>
    <row r="16" spans="1:4" ht="31.05" customHeight="1">
      <c r="A16" s="53" t="s">
        <v>151</v>
      </c>
      <c r="B16" s="62">
        <v>1733615.92</v>
      </c>
      <c r="C16" s="62">
        <v>1877003.93</v>
      </c>
      <c r="D16" s="62">
        <v>1620726.52</v>
      </c>
    </row>
    <row r="17" spans="1:4" ht="31.05" customHeight="1">
      <c r="A17" s="53" t="s">
        <v>152</v>
      </c>
      <c r="B17" s="62">
        <v>83318</v>
      </c>
      <c r="C17" s="62">
        <v>17352</v>
      </c>
      <c r="D17" s="62">
        <v>17973</v>
      </c>
    </row>
    <row r="18" spans="1:4" ht="31.05" customHeight="1">
      <c r="A18" s="53" t="s">
        <v>153</v>
      </c>
      <c r="B18" s="62">
        <v>988664.08</v>
      </c>
      <c r="C18" s="62">
        <v>1085553.52</v>
      </c>
      <c r="D18" s="62">
        <v>1196886.7</v>
      </c>
    </row>
    <row r="19" spans="1:4" ht="31.05" customHeight="1">
      <c r="A19" s="63" t="s">
        <v>154</v>
      </c>
      <c r="B19" s="62"/>
      <c r="C19" s="62"/>
      <c r="D19" s="62"/>
    </row>
    <row r="20" spans="1:4" ht="31.05" customHeight="1">
      <c r="A20" s="53" t="s">
        <v>155</v>
      </c>
      <c r="B20" s="62">
        <v>625572.94999999995</v>
      </c>
      <c r="C20" s="62">
        <v>676455.74</v>
      </c>
      <c r="D20" s="62">
        <v>775756.08</v>
      </c>
    </row>
    <row r="21" spans="1:4" ht="31.05" customHeight="1">
      <c r="A21" s="55" t="s">
        <v>156</v>
      </c>
      <c r="B21" s="59">
        <v>218700</v>
      </c>
      <c r="C21" s="59">
        <v>1006900</v>
      </c>
      <c r="D21" s="59">
        <v>690400</v>
      </c>
    </row>
    <row r="22" spans="1:4" ht="31.05" customHeight="1">
      <c r="A22" s="55" t="s">
        <v>157</v>
      </c>
      <c r="B22" s="62">
        <f>B14-B21</f>
        <v>7918084.9500000002</v>
      </c>
      <c r="C22" s="62">
        <f t="shared" ref="C22:D22" si="0">C14-C21</f>
        <v>8363348.0899999999</v>
      </c>
      <c r="D22" s="62">
        <f t="shared" si="0"/>
        <v>10680479.299999999</v>
      </c>
    </row>
    <row r="23" spans="1:4" ht="31.05" customHeight="1">
      <c r="A23" s="55" t="s">
        <v>158</v>
      </c>
      <c r="B23" s="61">
        <f>B22/B6</f>
        <v>7420.885613870666</v>
      </c>
      <c r="C23" s="61">
        <f t="shared" ref="C23:D23" si="1">C22/C6</f>
        <v>8104.0194670542633</v>
      </c>
      <c r="D23" s="61">
        <f t="shared" si="1"/>
        <v>10009.821274601685</v>
      </c>
    </row>
    <row r="24" spans="1:4" ht="31.05" customHeight="1">
      <c r="A24" s="131" t="s">
        <v>273</v>
      </c>
      <c r="B24" s="62">
        <f>B23</f>
        <v>7420.885613870666</v>
      </c>
      <c r="C24" s="62">
        <f>C23</f>
        <v>8104.0194670542633</v>
      </c>
      <c r="D24" s="62">
        <f>D23</f>
        <v>10009.821274601685</v>
      </c>
    </row>
    <row r="25" spans="1:4" ht="31.05" customHeight="1">
      <c r="A25" s="132" t="s">
        <v>274</v>
      </c>
      <c r="B25" s="177">
        <f>(B24+C24+D24)/3</f>
        <v>8511.5754518422054</v>
      </c>
      <c r="C25" s="178"/>
      <c r="D25" s="179"/>
    </row>
  </sheetData>
  <mergeCells count="3">
    <mergeCell ref="A2:D2"/>
    <mergeCell ref="A3:B3"/>
    <mergeCell ref="B25:D25"/>
  </mergeCells>
  <phoneticPr fontId="34" type="noConversion"/>
  <pageMargins left="0.90486111111111101"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E19"/>
  <sheetViews>
    <sheetView workbookViewId="0">
      <selection activeCell="F3" sqref="F3"/>
    </sheetView>
  </sheetViews>
  <sheetFormatPr defaultColWidth="9" defaultRowHeight="14.4"/>
  <cols>
    <col min="1" max="1" width="17.109375" customWidth="1"/>
    <col min="2" max="2" width="16.33203125" customWidth="1"/>
    <col min="3" max="3" width="17.109375" customWidth="1"/>
    <col min="4" max="4" width="17.77734375" customWidth="1"/>
    <col min="5" max="5" width="13.6640625" customWidth="1"/>
  </cols>
  <sheetData>
    <row r="1" spans="1:5" ht="57" customHeight="1">
      <c r="A1" s="180" t="s">
        <v>279</v>
      </c>
      <c r="B1" s="180"/>
      <c r="C1" s="180"/>
      <c r="D1" s="180"/>
      <c r="E1" s="180"/>
    </row>
    <row r="2" spans="1:5" ht="30.6" customHeight="1">
      <c r="A2" s="42" t="s">
        <v>159</v>
      </c>
      <c r="B2" s="42" t="s">
        <v>160</v>
      </c>
      <c r="C2" s="42" t="s">
        <v>161</v>
      </c>
      <c r="D2" s="42" t="s">
        <v>162</v>
      </c>
      <c r="E2" s="42" t="s">
        <v>163</v>
      </c>
    </row>
    <row r="3" spans="1:5" ht="30" customHeight="1">
      <c r="A3" s="43" t="s">
        <v>164</v>
      </c>
      <c r="B3" s="43"/>
      <c r="C3" s="43"/>
      <c r="D3" s="43"/>
      <c r="E3" s="43"/>
    </row>
    <row r="4" spans="1:5" ht="30" customHeight="1">
      <c r="A4" s="43">
        <v>2019</v>
      </c>
      <c r="B4" s="43">
        <v>21</v>
      </c>
      <c r="C4" s="43">
        <v>1074</v>
      </c>
      <c r="D4" s="43">
        <v>1052</v>
      </c>
      <c r="E4" s="43">
        <f>(C4*8+D4*4)/12</f>
        <v>1066.6666666666667</v>
      </c>
    </row>
    <row r="5" spans="1:5" ht="30" customHeight="1">
      <c r="A5" s="43">
        <v>2020</v>
      </c>
      <c r="B5" s="43">
        <v>22</v>
      </c>
      <c r="C5" s="43">
        <v>1047</v>
      </c>
      <c r="D5" s="43">
        <v>1001</v>
      </c>
      <c r="E5" s="43">
        <f t="shared" ref="E5:E6" si="0">(C5*8+D5*4)/12</f>
        <v>1031.6666666666667</v>
      </c>
    </row>
    <row r="6" spans="1:5" ht="30" customHeight="1">
      <c r="A6" s="43">
        <v>2021</v>
      </c>
      <c r="B6" s="43">
        <v>22</v>
      </c>
      <c r="C6" s="43">
        <v>1079</v>
      </c>
      <c r="D6" s="43">
        <v>1041</v>
      </c>
      <c r="E6" s="43">
        <f t="shared" si="0"/>
        <v>1066.3333333333333</v>
      </c>
    </row>
    <row r="7" spans="1:5" ht="30" customHeight="1">
      <c r="A7" s="43"/>
      <c r="B7" s="43"/>
      <c r="C7" s="43"/>
      <c r="D7" s="43"/>
      <c r="E7" s="43"/>
    </row>
    <row r="8" spans="1:5" ht="30" customHeight="1">
      <c r="A8" s="43"/>
      <c r="B8" s="43"/>
      <c r="C8" s="43"/>
      <c r="D8" s="43"/>
      <c r="E8" s="43"/>
    </row>
    <row r="9" spans="1:5" ht="30" customHeight="1">
      <c r="A9" s="43"/>
      <c r="B9" s="43"/>
      <c r="C9" s="43"/>
      <c r="D9" s="43"/>
      <c r="E9" s="43"/>
    </row>
    <row r="10" spans="1:5" ht="30" customHeight="1">
      <c r="A10" s="43"/>
      <c r="B10" s="43"/>
      <c r="C10" s="43"/>
      <c r="D10" s="43"/>
      <c r="E10" s="43"/>
    </row>
    <row r="11" spans="1:5" ht="30" customHeight="1">
      <c r="A11" s="43"/>
      <c r="B11" s="43"/>
      <c r="C11" s="43"/>
      <c r="D11" s="43"/>
      <c r="E11" s="43"/>
    </row>
    <row r="12" spans="1:5" ht="30" customHeight="1">
      <c r="A12" s="43"/>
      <c r="B12" s="43"/>
      <c r="C12" s="43"/>
      <c r="D12" s="43"/>
      <c r="E12" s="43"/>
    </row>
    <row r="13" spans="1:5" ht="30" customHeight="1">
      <c r="A13" s="43"/>
      <c r="B13" s="43"/>
      <c r="C13" s="43"/>
      <c r="D13" s="43"/>
      <c r="E13" s="43"/>
    </row>
    <row r="14" spans="1:5" ht="30" customHeight="1">
      <c r="A14" s="43"/>
      <c r="B14" s="43"/>
      <c r="C14" s="43"/>
      <c r="D14" s="43"/>
      <c r="E14" s="43"/>
    </row>
    <row r="15" spans="1:5" ht="30" customHeight="1">
      <c r="A15" s="43"/>
      <c r="B15" s="43"/>
      <c r="C15" s="43"/>
      <c r="D15" s="43"/>
      <c r="E15" s="44"/>
    </row>
    <row r="16" spans="1:5" ht="30" customHeight="1">
      <c r="A16" s="128" t="s">
        <v>239</v>
      </c>
      <c r="B16" s="43" t="s">
        <v>236</v>
      </c>
      <c r="C16" s="43" t="s">
        <v>237</v>
      </c>
      <c r="D16" s="43" t="s">
        <v>238</v>
      </c>
      <c r="E16" s="43" t="s">
        <v>242</v>
      </c>
    </row>
    <row r="17" spans="1:5" ht="30" customHeight="1">
      <c r="A17" s="45" t="s">
        <v>165</v>
      </c>
      <c r="B17" s="43">
        <v>1067</v>
      </c>
      <c r="C17" s="44">
        <v>1032</v>
      </c>
      <c r="D17" s="44">
        <v>1067</v>
      </c>
      <c r="E17" s="44">
        <f>B17+C17+D17</f>
        <v>3166</v>
      </c>
    </row>
    <row r="18" spans="1:5">
      <c r="A18" s="181" t="s">
        <v>241</v>
      </c>
      <c r="B18" s="183" t="s">
        <v>240</v>
      </c>
      <c r="C18" s="184"/>
      <c r="D18" s="184"/>
      <c r="E18" s="185"/>
    </row>
    <row r="19" spans="1:5">
      <c r="A19" s="182"/>
      <c r="B19" s="186"/>
      <c r="C19" s="187"/>
      <c r="D19" s="187"/>
      <c r="E19" s="188"/>
    </row>
  </sheetData>
  <mergeCells count="3">
    <mergeCell ref="A1:E1"/>
    <mergeCell ref="A18:A19"/>
    <mergeCell ref="B18:E19"/>
  </mergeCells>
  <phoneticPr fontId="34" type="noConversion"/>
  <printOptions horizontalCentered="1"/>
  <pageMargins left="1.2204724409448819"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N51"/>
  <sheetViews>
    <sheetView topLeftCell="A43" workbookViewId="0">
      <selection activeCell="B59" sqref="B59"/>
    </sheetView>
  </sheetViews>
  <sheetFormatPr defaultColWidth="9" defaultRowHeight="14.4"/>
  <cols>
    <col min="1" max="1" width="25.88671875" style="29" customWidth="1"/>
    <col min="2" max="2" width="12.77734375" style="29" customWidth="1"/>
    <col min="3" max="3" width="13.88671875" style="29" customWidth="1"/>
    <col min="4" max="4" width="6.5546875" style="29" customWidth="1"/>
    <col min="5" max="5" width="8" style="29" customWidth="1"/>
    <col min="6" max="6" width="8.33203125" style="29" customWidth="1"/>
    <col min="7" max="7" width="8.21875" style="29" customWidth="1"/>
    <col min="8" max="8" width="12.33203125" style="29" customWidth="1"/>
    <col min="9" max="9" width="12" style="29" customWidth="1"/>
    <col min="10" max="10" width="11.21875" style="29" customWidth="1"/>
    <col min="11" max="11" width="12" style="29" customWidth="1"/>
    <col min="12" max="12" width="13" style="29" customWidth="1"/>
    <col min="13" max="13" width="11.6640625" style="29" customWidth="1"/>
    <col min="14" max="14" width="11.33203125" style="29" customWidth="1"/>
    <col min="15" max="16384" width="9" style="29"/>
  </cols>
  <sheetData>
    <row r="1" spans="1:14" ht="21" customHeight="1">
      <c r="A1" s="196" t="s">
        <v>280</v>
      </c>
      <c r="B1" s="196"/>
      <c r="C1" s="196"/>
      <c r="D1" s="196"/>
      <c r="E1" s="196"/>
      <c r="F1" s="196"/>
      <c r="G1" s="196"/>
      <c r="H1" s="156"/>
      <c r="I1" s="189"/>
      <c r="J1" s="190"/>
      <c r="K1" s="190"/>
      <c r="L1" s="190"/>
      <c r="M1" s="190"/>
      <c r="N1" s="190"/>
    </row>
    <row r="2" spans="1:14" ht="29.4" customHeight="1">
      <c r="A2" s="30" t="s">
        <v>166</v>
      </c>
      <c r="B2" s="30" t="s">
        <v>167</v>
      </c>
      <c r="C2" s="30" t="s">
        <v>168</v>
      </c>
      <c r="D2" s="30" t="s">
        <v>169</v>
      </c>
      <c r="E2" s="30" t="s">
        <v>170</v>
      </c>
      <c r="F2" s="30" t="s">
        <v>163</v>
      </c>
      <c r="G2" s="30" t="s">
        <v>171</v>
      </c>
      <c r="H2" s="156"/>
      <c r="I2" s="157"/>
      <c r="J2" s="157"/>
      <c r="K2" s="157"/>
      <c r="L2" s="157"/>
      <c r="M2" s="157"/>
      <c r="N2" s="157"/>
    </row>
    <row r="3" spans="1:14" ht="13.8" customHeight="1">
      <c r="A3" s="31" t="s">
        <v>172</v>
      </c>
      <c r="B3" s="30"/>
      <c r="C3" s="30"/>
      <c r="D3" s="30"/>
      <c r="E3" s="32"/>
      <c r="F3" s="33"/>
      <c r="G3" s="30"/>
      <c r="H3" s="158"/>
      <c r="I3" s="156"/>
      <c r="J3" s="156"/>
      <c r="K3" s="156"/>
      <c r="L3" s="156"/>
      <c r="M3" s="156"/>
      <c r="N3" s="156"/>
    </row>
    <row r="4" spans="1:14" ht="13.8" customHeight="1">
      <c r="A4" s="34" t="s">
        <v>173</v>
      </c>
      <c r="B4" s="35"/>
      <c r="C4" s="35"/>
      <c r="D4" s="36"/>
      <c r="E4" s="36"/>
      <c r="F4" s="35">
        <f>47+9</f>
        <v>56</v>
      </c>
      <c r="G4" s="154"/>
      <c r="H4" s="158"/>
      <c r="I4" s="156"/>
      <c r="J4" s="156"/>
      <c r="K4" s="156"/>
      <c r="L4" s="156"/>
      <c r="M4" s="156"/>
      <c r="N4" s="156"/>
    </row>
    <row r="5" spans="1:14" ht="13.8" customHeight="1">
      <c r="A5" s="37" t="s">
        <v>33</v>
      </c>
      <c r="B5" s="35"/>
      <c r="C5" s="35"/>
      <c r="D5" s="36"/>
      <c r="E5" s="36"/>
      <c r="F5" s="36"/>
      <c r="G5" s="154"/>
      <c r="H5" s="158"/>
      <c r="I5" s="156"/>
      <c r="J5" s="156"/>
      <c r="K5" s="156"/>
      <c r="L5" s="156"/>
      <c r="M5" s="156"/>
      <c r="N5" s="156"/>
    </row>
    <row r="6" spans="1:14" ht="13.8" customHeight="1">
      <c r="A6" s="38" t="s">
        <v>174</v>
      </c>
      <c r="B6" s="35">
        <v>43</v>
      </c>
      <c r="C6" s="35">
        <v>53</v>
      </c>
      <c r="D6" s="125">
        <f>(B6*8+C6*4)/12</f>
        <v>46.333333333333336</v>
      </c>
      <c r="E6" s="36">
        <f>1067/19</f>
        <v>56.157894736842103</v>
      </c>
      <c r="F6" s="35">
        <v>47</v>
      </c>
      <c r="G6" s="35"/>
    </row>
    <row r="7" spans="1:14" ht="13.8" customHeight="1">
      <c r="A7" s="38" t="s">
        <v>175</v>
      </c>
      <c r="B7" s="35"/>
      <c r="C7" s="35"/>
      <c r="D7" s="35"/>
      <c r="E7" s="36"/>
      <c r="F7" s="35"/>
      <c r="G7" s="35"/>
    </row>
    <row r="8" spans="1:14" ht="13.8" customHeight="1">
      <c r="A8" s="38" t="s">
        <v>176</v>
      </c>
      <c r="B8" s="35"/>
      <c r="C8" s="35"/>
      <c r="D8" s="35"/>
      <c r="E8" s="36"/>
      <c r="F8" s="35"/>
      <c r="G8" s="35"/>
    </row>
    <row r="9" spans="1:14" ht="13.8" customHeight="1">
      <c r="A9" s="39" t="s">
        <v>37</v>
      </c>
      <c r="B9" s="35"/>
      <c r="C9" s="35"/>
      <c r="D9" s="35"/>
      <c r="E9" s="36"/>
      <c r="F9" s="35"/>
      <c r="G9" s="40"/>
    </row>
    <row r="10" spans="1:14" ht="13.8" customHeight="1">
      <c r="A10" s="37" t="s">
        <v>38</v>
      </c>
      <c r="B10" s="35"/>
      <c r="C10" s="35"/>
      <c r="D10" s="35"/>
      <c r="E10" s="191">
        <v>9</v>
      </c>
      <c r="F10" s="192">
        <v>9</v>
      </c>
      <c r="G10" s="193">
        <v>38</v>
      </c>
    </row>
    <row r="11" spans="1:14" ht="13.8" customHeight="1">
      <c r="A11" s="37" t="s">
        <v>39</v>
      </c>
      <c r="B11" s="35">
        <v>10</v>
      </c>
      <c r="C11" s="35">
        <v>10</v>
      </c>
      <c r="D11" s="35">
        <v>10</v>
      </c>
      <c r="E11" s="191"/>
      <c r="F11" s="192"/>
      <c r="G11" s="194"/>
    </row>
    <row r="12" spans="1:14" ht="13.8" customHeight="1">
      <c r="A12" s="37" t="s">
        <v>40</v>
      </c>
      <c r="B12" s="35">
        <v>37</v>
      </c>
      <c r="C12" s="35">
        <v>37</v>
      </c>
      <c r="D12" s="35">
        <v>37</v>
      </c>
      <c r="E12" s="191"/>
      <c r="F12" s="192"/>
      <c r="G12" s="195"/>
    </row>
    <row r="13" spans="1:14" ht="13.8" customHeight="1">
      <c r="A13" s="41" t="s">
        <v>41</v>
      </c>
      <c r="B13" s="35"/>
      <c r="C13" s="35"/>
      <c r="D13" s="35"/>
      <c r="E13" s="41"/>
      <c r="F13" s="41"/>
      <c r="G13" s="41"/>
    </row>
    <row r="14" spans="1:14" ht="13.8" customHeight="1">
      <c r="A14" s="41" t="s">
        <v>42</v>
      </c>
      <c r="B14" s="35"/>
      <c r="C14" s="35"/>
      <c r="D14" s="35"/>
      <c r="E14" s="41"/>
      <c r="F14" s="41"/>
      <c r="G14" s="41"/>
    </row>
    <row r="15" spans="1:14" ht="13.8" customHeight="1">
      <c r="A15" s="41" t="s">
        <v>43</v>
      </c>
      <c r="B15" s="35"/>
      <c r="C15" s="35"/>
      <c r="D15" s="35"/>
      <c r="E15" s="41"/>
      <c r="F15" s="41"/>
      <c r="G15" s="41"/>
    </row>
    <row r="16" spans="1:14" ht="13.8" customHeight="1">
      <c r="A16" s="41" t="s">
        <v>44</v>
      </c>
      <c r="B16" s="35"/>
      <c r="C16" s="35"/>
      <c r="D16" s="35"/>
      <c r="E16" s="41"/>
      <c r="F16" s="41"/>
      <c r="G16" s="41"/>
    </row>
    <row r="17" spans="1:7" ht="13.8" customHeight="1">
      <c r="A17" s="41" t="s">
        <v>45</v>
      </c>
      <c r="B17" s="35"/>
      <c r="C17" s="35"/>
      <c r="D17" s="35"/>
      <c r="E17" s="41"/>
      <c r="F17" s="41"/>
      <c r="G17" s="41"/>
    </row>
    <row r="18" spans="1:7" ht="21.6" customHeight="1">
      <c r="A18" s="196" t="s">
        <v>281</v>
      </c>
      <c r="B18" s="196"/>
      <c r="C18" s="196"/>
      <c r="D18" s="196"/>
      <c r="E18" s="196"/>
      <c r="F18" s="196"/>
      <c r="G18" s="196"/>
    </row>
    <row r="19" spans="1:7" ht="31.2">
      <c r="A19" s="30" t="s">
        <v>166</v>
      </c>
      <c r="B19" s="30" t="s">
        <v>167</v>
      </c>
      <c r="C19" s="30" t="s">
        <v>168</v>
      </c>
      <c r="D19" s="30" t="s">
        <v>169</v>
      </c>
      <c r="E19" s="30" t="s">
        <v>170</v>
      </c>
      <c r="F19" s="30" t="s">
        <v>163</v>
      </c>
      <c r="G19" s="30" t="s">
        <v>171</v>
      </c>
    </row>
    <row r="20" spans="1:7" ht="13.8" customHeight="1">
      <c r="A20" s="31" t="s">
        <v>172</v>
      </c>
      <c r="B20" s="30"/>
      <c r="C20" s="30"/>
      <c r="D20" s="30"/>
      <c r="E20" s="32"/>
      <c r="F20" s="33"/>
      <c r="G20" s="30"/>
    </row>
    <row r="21" spans="1:7" ht="13.8" customHeight="1">
      <c r="A21" s="34" t="s">
        <v>173</v>
      </c>
      <c r="B21" s="126"/>
      <c r="C21" s="126"/>
      <c r="D21" s="125"/>
      <c r="E21" s="125"/>
      <c r="F21" s="126"/>
      <c r="G21" s="126"/>
    </row>
    <row r="22" spans="1:7" ht="13.8" customHeight="1">
      <c r="A22" s="37" t="s">
        <v>33</v>
      </c>
      <c r="B22" s="126"/>
      <c r="C22" s="126"/>
      <c r="D22" s="125"/>
      <c r="E22" s="125"/>
      <c r="F22" s="125"/>
      <c r="G22" s="126"/>
    </row>
    <row r="23" spans="1:7" ht="13.8" customHeight="1">
      <c r="A23" s="38" t="s">
        <v>174</v>
      </c>
      <c r="B23" s="126">
        <v>56</v>
      </c>
      <c r="C23" s="126">
        <v>59</v>
      </c>
      <c r="D23" s="126">
        <f>(B23*8+C23*4)/12</f>
        <v>57</v>
      </c>
      <c r="E23" s="125">
        <f>1032/19</f>
        <v>54.315789473684212</v>
      </c>
      <c r="F23" s="126">
        <v>54</v>
      </c>
      <c r="G23" s="126">
        <v>3</v>
      </c>
    </row>
    <row r="24" spans="1:7" ht="13.8" customHeight="1">
      <c r="A24" s="38" t="s">
        <v>175</v>
      </c>
      <c r="B24" s="126"/>
      <c r="C24" s="126"/>
      <c r="D24" s="126"/>
      <c r="E24" s="125"/>
      <c r="F24" s="126"/>
      <c r="G24" s="126"/>
    </row>
    <row r="25" spans="1:7" ht="13.8" customHeight="1">
      <c r="A25" s="38" t="s">
        <v>176</v>
      </c>
      <c r="B25" s="126"/>
      <c r="C25" s="126"/>
      <c r="D25" s="126"/>
      <c r="E25" s="125"/>
      <c r="F25" s="126"/>
      <c r="G25" s="126"/>
    </row>
    <row r="26" spans="1:7" ht="13.8" customHeight="1">
      <c r="A26" s="39" t="s">
        <v>37</v>
      </c>
      <c r="B26" s="126"/>
      <c r="C26" s="126"/>
      <c r="D26" s="126"/>
      <c r="E26" s="125"/>
      <c r="F26" s="126"/>
      <c r="G26" s="127"/>
    </row>
    <row r="27" spans="1:7" ht="13.8" customHeight="1">
      <c r="A27" s="37" t="s">
        <v>38</v>
      </c>
      <c r="B27" s="126"/>
      <c r="C27" s="126"/>
      <c r="D27" s="126"/>
      <c r="E27" s="191">
        <v>9</v>
      </c>
      <c r="F27" s="192">
        <v>9</v>
      </c>
      <c r="G27" s="193">
        <v>38</v>
      </c>
    </row>
    <row r="28" spans="1:7" ht="13.8" customHeight="1">
      <c r="A28" s="37" t="s">
        <v>39</v>
      </c>
      <c r="B28" s="126">
        <v>10</v>
      </c>
      <c r="C28" s="126">
        <v>10</v>
      </c>
      <c r="D28" s="126">
        <v>10</v>
      </c>
      <c r="E28" s="191"/>
      <c r="F28" s="192"/>
      <c r="G28" s="194"/>
    </row>
    <row r="29" spans="1:7" ht="13.8" customHeight="1">
      <c r="A29" s="37" t="s">
        <v>40</v>
      </c>
      <c r="B29" s="126">
        <v>37</v>
      </c>
      <c r="C29" s="126">
        <v>37</v>
      </c>
      <c r="D29" s="126">
        <v>37</v>
      </c>
      <c r="E29" s="191"/>
      <c r="F29" s="192"/>
      <c r="G29" s="195"/>
    </row>
    <row r="30" spans="1:7" ht="13.8" customHeight="1">
      <c r="A30" s="41" t="s">
        <v>41</v>
      </c>
      <c r="B30" s="126"/>
      <c r="C30" s="126"/>
      <c r="D30" s="126"/>
      <c r="E30" s="41"/>
      <c r="F30" s="41"/>
      <c r="G30" s="41"/>
    </row>
    <row r="31" spans="1:7" ht="13.8" customHeight="1">
      <c r="A31" s="41" t="s">
        <v>42</v>
      </c>
      <c r="B31" s="126"/>
      <c r="C31" s="126"/>
      <c r="D31" s="126"/>
      <c r="E31" s="41"/>
      <c r="F31" s="41"/>
      <c r="G31" s="41"/>
    </row>
    <row r="32" spans="1:7" ht="13.8" customHeight="1">
      <c r="A32" s="41" t="s">
        <v>43</v>
      </c>
      <c r="B32" s="126"/>
      <c r="C32" s="126"/>
      <c r="D32" s="126"/>
      <c r="E32" s="41"/>
      <c r="F32" s="41"/>
      <c r="G32" s="41"/>
    </row>
    <row r="33" spans="1:7" ht="13.8" customHeight="1">
      <c r="A33" s="41" t="s">
        <v>44</v>
      </c>
      <c r="B33" s="126"/>
      <c r="C33" s="126"/>
      <c r="D33" s="126"/>
      <c r="E33" s="41"/>
      <c r="F33" s="41"/>
      <c r="G33" s="41"/>
    </row>
    <row r="34" spans="1:7" ht="13.8" customHeight="1">
      <c r="A34" s="41" t="s">
        <v>45</v>
      </c>
      <c r="B34" s="126"/>
      <c r="C34" s="126"/>
      <c r="D34" s="126"/>
      <c r="E34" s="41"/>
      <c r="F34" s="41"/>
      <c r="G34" s="41"/>
    </row>
    <row r="35" spans="1:7" ht="22.8" customHeight="1">
      <c r="A35" s="196" t="s">
        <v>282</v>
      </c>
      <c r="B35" s="196"/>
      <c r="C35" s="196"/>
      <c r="D35" s="196"/>
      <c r="E35" s="196"/>
      <c r="F35" s="196"/>
      <c r="G35" s="196"/>
    </row>
    <row r="36" spans="1:7" ht="29.4" customHeight="1">
      <c r="A36" s="30" t="s">
        <v>166</v>
      </c>
      <c r="B36" s="30" t="s">
        <v>167</v>
      </c>
      <c r="C36" s="30" t="s">
        <v>168</v>
      </c>
      <c r="D36" s="30" t="s">
        <v>169</v>
      </c>
      <c r="E36" s="30" t="s">
        <v>170</v>
      </c>
      <c r="F36" s="30" t="s">
        <v>163</v>
      </c>
      <c r="G36" s="30" t="s">
        <v>171</v>
      </c>
    </row>
    <row r="37" spans="1:7" ht="13.8" customHeight="1">
      <c r="A37" s="31" t="s">
        <v>172</v>
      </c>
      <c r="B37" s="30"/>
      <c r="C37" s="30"/>
      <c r="D37" s="30"/>
      <c r="E37" s="32"/>
      <c r="F37" s="33"/>
      <c r="G37" s="30"/>
    </row>
    <row r="38" spans="1:7" ht="13.8" customHeight="1">
      <c r="A38" s="34" t="s">
        <v>173</v>
      </c>
      <c r="B38" s="126"/>
      <c r="C38" s="126"/>
      <c r="D38" s="125"/>
      <c r="E38" s="125"/>
      <c r="F38" s="126"/>
      <c r="G38" s="126"/>
    </row>
    <row r="39" spans="1:7" ht="13.8" customHeight="1">
      <c r="A39" s="37" t="s">
        <v>33</v>
      </c>
      <c r="B39" s="126"/>
      <c r="C39" s="126"/>
      <c r="D39" s="125"/>
      <c r="E39" s="125"/>
      <c r="F39" s="125"/>
      <c r="G39" s="126"/>
    </row>
    <row r="40" spans="1:7" ht="13.8" customHeight="1">
      <c r="A40" s="38" t="s">
        <v>174</v>
      </c>
      <c r="B40" s="126">
        <v>59</v>
      </c>
      <c r="C40" s="126">
        <v>57</v>
      </c>
      <c r="D40" s="125">
        <f>(B40*8+C40*4)/12</f>
        <v>58.333333333333336</v>
      </c>
      <c r="E40" s="125">
        <f>1067/19</f>
        <v>56.157894736842103</v>
      </c>
      <c r="F40" s="126">
        <v>56</v>
      </c>
      <c r="G40" s="126">
        <v>2</v>
      </c>
    </row>
    <row r="41" spans="1:7" ht="13.8" customHeight="1">
      <c r="A41" s="38" t="s">
        <v>175</v>
      </c>
      <c r="B41" s="126"/>
      <c r="C41" s="126"/>
      <c r="D41" s="126"/>
      <c r="E41" s="125"/>
      <c r="F41" s="126"/>
      <c r="G41" s="126"/>
    </row>
    <row r="42" spans="1:7" ht="13.8" customHeight="1">
      <c r="A42" s="38" t="s">
        <v>176</v>
      </c>
      <c r="B42" s="126"/>
      <c r="C42" s="126"/>
      <c r="D42" s="126"/>
      <c r="E42" s="125"/>
      <c r="F42" s="126"/>
      <c r="G42" s="126"/>
    </row>
    <row r="43" spans="1:7" ht="13.8" customHeight="1">
      <c r="A43" s="39" t="s">
        <v>37</v>
      </c>
      <c r="B43" s="126"/>
      <c r="C43" s="126"/>
      <c r="D43" s="126"/>
      <c r="E43" s="125"/>
      <c r="F43" s="126"/>
      <c r="G43" s="127"/>
    </row>
    <row r="44" spans="1:7" ht="13.8" customHeight="1">
      <c r="A44" s="37" t="s">
        <v>38</v>
      </c>
      <c r="B44" s="126"/>
      <c r="C44" s="126"/>
      <c r="D44" s="126"/>
      <c r="E44" s="191">
        <v>9</v>
      </c>
      <c r="F44" s="192">
        <v>9</v>
      </c>
      <c r="G44" s="193">
        <v>38</v>
      </c>
    </row>
    <row r="45" spans="1:7" ht="13.8" customHeight="1">
      <c r="A45" s="37" t="s">
        <v>39</v>
      </c>
      <c r="B45" s="126">
        <v>10</v>
      </c>
      <c r="C45" s="126">
        <v>10</v>
      </c>
      <c r="D45" s="126">
        <v>10</v>
      </c>
      <c r="E45" s="191"/>
      <c r="F45" s="192"/>
      <c r="G45" s="194"/>
    </row>
    <row r="46" spans="1:7" ht="13.8" customHeight="1">
      <c r="A46" s="37" t="s">
        <v>40</v>
      </c>
      <c r="B46" s="126">
        <v>37</v>
      </c>
      <c r="C46" s="126">
        <v>37</v>
      </c>
      <c r="D46" s="126">
        <v>37</v>
      </c>
      <c r="E46" s="191"/>
      <c r="F46" s="192"/>
      <c r="G46" s="195"/>
    </row>
    <row r="47" spans="1:7" ht="13.8" customHeight="1">
      <c r="A47" s="41" t="s">
        <v>41</v>
      </c>
      <c r="B47" s="126"/>
      <c r="C47" s="126"/>
      <c r="D47" s="126"/>
      <c r="E47" s="41"/>
      <c r="F47" s="41"/>
      <c r="G47" s="41"/>
    </row>
    <row r="48" spans="1:7" ht="13.8" customHeight="1">
      <c r="A48" s="41" t="s">
        <v>42</v>
      </c>
      <c r="B48" s="126"/>
      <c r="C48" s="126"/>
      <c r="D48" s="126"/>
      <c r="E48" s="41"/>
      <c r="F48" s="41"/>
      <c r="G48" s="41"/>
    </row>
    <row r="49" spans="1:7" ht="13.8" customHeight="1">
      <c r="A49" s="41" t="s">
        <v>43</v>
      </c>
      <c r="B49" s="126"/>
      <c r="C49" s="126"/>
      <c r="D49" s="126"/>
      <c r="E49" s="41"/>
      <c r="F49" s="41"/>
      <c r="G49" s="41"/>
    </row>
    <row r="50" spans="1:7" ht="13.8" customHeight="1">
      <c r="A50" s="41" t="s">
        <v>44</v>
      </c>
      <c r="B50" s="126"/>
      <c r="C50" s="126"/>
      <c r="D50" s="126"/>
      <c r="E50" s="41"/>
      <c r="F50" s="41"/>
      <c r="G50" s="41"/>
    </row>
    <row r="51" spans="1:7" ht="13.8" customHeight="1">
      <c r="A51" s="41" t="s">
        <v>45</v>
      </c>
      <c r="B51" s="126"/>
      <c r="C51" s="126"/>
      <c r="D51" s="126"/>
      <c r="E51" s="41"/>
      <c r="F51" s="41"/>
      <c r="G51" s="41"/>
    </row>
  </sheetData>
  <mergeCells count="13">
    <mergeCell ref="E44:E46"/>
    <mergeCell ref="F44:F46"/>
    <mergeCell ref="G44:G46"/>
    <mergeCell ref="A1:G1"/>
    <mergeCell ref="E10:E12"/>
    <mergeCell ref="F10:F12"/>
    <mergeCell ref="G10:G12"/>
    <mergeCell ref="A18:G18"/>
    <mergeCell ref="I1:N1"/>
    <mergeCell ref="E27:E29"/>
    <mergeCell ref="F27:F29"/>
    <mergeCell ref="G27:G29"/>
    <mergeCell ref="A35:G35"/>
  </mergeCells>
  <phoneticPr fontId="34" type="noConversion"/>
  <printOptions horizontalCentered="1"/>
  <pageMargins left="1.1023622047244095"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G35"/>
  <sheetViews>
    <sheetView workbookViewId="0">
      <selection activeCell="J4" sqref="J4"/>
    </sheetView>
  </sheetViews>
  <sheetFormatPr defaultColWidth="9" defaultRowHeight="14.4"/>
  <cols>
    <col min="1" max="1" width="16.77734375" style="6" customWidth="1"/>
    <col min="2" max="2" width="15.109375" style="6" customWidth="1"/>
    <col min="3" max="3" width="14.88671875" style="6" customWidth="1"/>
    <col min="4" max="5" width="14.33203125" style="6" customWidth="1"/>
    <col min="6" max="6" width="12" style="6" customWidth="1"/>
    <col min="7" max="7" width="6" style="6" customWidth="1"/>
    <col min="8" max="16384" width="9" style="6"/>
  </cols>
  <sheetData>
    <row r="1" spans="1:7" ht="24.6" customHeight="1">
      <c r="A1" s="197" t="s">
        <v>283</v>
      </c>
      <c r="B1" s="197"/>
      <c r="C1" s="197"/>
      <c r="D1" s="197"/>
      <c r="E1" s="197"/>
      <c r="F1" s="197"/>
      <c r="G1" s="19"/>
    </row>
    <row r="2" spans="1:7" ht="14.4" customHeight="1">
      <c r="F2" s="142" t="s">
        <v>244</v>
      </c>
    </row>
    <row r="3" spans="1:7" ht="24" customHeight="1">
      <c r="A3" s="20" t="s">
        <v>166</v>
      </c>
      <c r="B3" s="21" t="s">
        <v>177</v>
      </c>
      <c r="C3" s="21" t="s">
        <v>178</v>
      </c>
      <c r="D3" s="21" t="s">
        <v>179</v>
      </c>
      <c r="E3" s="22" t="s">
        <v>85</v>
      </c>
      <c r="F3" s="21" t="s">
        <v>180</v>
      </c>
      <c r="G3" s="23" t="s">
        <v>181</v>
      </c>
    </row>
    <row r="4" spans="1:7" ht="22.05" customHeight="1">
      <c r="A4" s="24" t="s">
        <v>182</v>
      </c>
      <c r="B4" s="25">
        <v>4065566</v>
      </c>
      <c r="C4" s="25">
        <f>81700*1.2*教职工人数核定表!F4</f>
        <v>5490240</v>
      </c>
      <c r="D4" s="25">
        <f>B4-E4</f>
        <v>0</v>
      </c>
      <c r="E4" s="25">
        <v>4065566</v>
      </c>
      <c r="F4" s="26"/>
      <c r="G4" s="27"/>
    </row>
    <row r="5" spans="1:7" ht="22.05" customHeight="1">
      <c r="A5" s="24" t="s">
        <v>183</v>
      </c>
      <c r="B5" s="25">
        <v>151767</v>
      </c>
      <c r="C5" s="25">
        <f>B4*0.14</f>
        <v>569179.24000000011</v>
      </c>
      <c r="D5" s="25">
        <f t="shared" ref="D5:D12" si="0">B5-E5</f>
        <v>0</v>
      </c>
      <c r="E5" s="25">
        <v>151767</v>
      </c>
      <c r="F5" s="26"/>
      <c r="G5" s="27"/>
    </row>
    <row r="6" spans="1:7" ht="22.05" customHeight="1">
      <c r="A6" s="28" t="s">
        <v>184</v>
      </c>
      <c r="B6" s="25">
        <v>334252</v>
      </c>
      <c r="C6" s="25">
        <f>B4*0.2585</f>
        <v>1050948.811</v>
      </c>
      <c r="D6" s="25">
        <f t="shared" si="0"/>
        <v>0</v>
      </c>
      <c r="E6" s="25">
        <v>334252</v>
      </c>
      <c r="F6" s="26"/>
      <c r="G6" s="27"/>
    </row>
    <row r="7" spans="1:7" ht="22.05" customHeight="1">
      <c r="A7" s="24" t="s">
        <v>185</v>
      </c>
      <c r="B7" s="25"/>
      <c r="C7" s="25"/>
      <c r="D7" s="25">
        <f t="shared" si="0"/>
        <v>0</v>
      </c>
      <c r="E7" s="25"/>
      <c r="F7" s="26"/>
      <c r="G7" s="27"/>
    </row>
    <row r="8" spans="1:7" ht="22.05" customHeight="1">
      <c r="A8" s="28" t="s">
        <v>186</v>
      </c>
      <c r="B8" s="25"/>
      <c r="C8" s="25"/>
      <c r="D8" s="25">
        <f t="shared" si="0"/>
        <v>0</v>
      </c>
      <c r="E8" s="25"/>
      <c r="F8" s="26"/>
      <c r="G8" s="27"/>
    </row>
    <row r="9" spans="1:7" ht="22.05" customHeight="1">
      <c r="A9" s="24" t="s">
        <v>187</v>
      </c>
      <c r="B9" s="25">
        <v>305796</v>
      </c>
      <c r="C9" s="25">
        <f>B4*0.12</f>
        <v>487867.92</v>
      </c>
      <c r="D9" s="25">
        <f t="shared" si="0"/>
        <v>0</v>
      </c>
      <c r="E9" s="25">
        <v>305796</v>
      </c>
      <c r="F9" s="25">
        <f>E4*0.05</f>
        <v>203278.30000000002</v>
      </c>
      <c r="G9" s="27"/>
    </row>
    <row r="10" spans="1:7" ht="22.05" customHeight="1">
      <c r="A10" s="24" t="s">
        <v>188</v>
      </c>
      <c r="B10" s="25">
        <v>90058</v>
      </c>
      <c r="C10" s="25">
        <f>B4*0.02</f>
        <v>81311.320000000007</v>
      </c>
      <c r="D10" s="25">
        <f t="shared" si="0"/>
        <v>8746.679999999993</v>
      </c>
      <c r="E10" s="25">
        <v>81311.320000000007</v>
      </c>
      <c r="F10" s="26">
        <f>E4*0.02</f>
        <v>81311.320000000007</v>
      </c>
      <c r="G10" s="27"/>
    </row>
    <row r="11" spans="1:7" ht="22.05" customHeight="1">
      <c r="A11" s="24" t="s">
        <v>189</v>
      </c>
      <c r="B11" s="25">
        <v>41979</v>
      </c>
      <c r="C11" s="25">
        <f>B4*0.025</f>
        <v>101639.15000000001</v>
      </c>
      <c r="D11" s="25">
        <f t="shared" si="0"/>
        <v>-59660.149999999994</v>
      </c>
      <c r="E11" s="25">
        <v>101639.15</v>
      </c>
      <c r="F11" s="26">
        <f>E4*0.025</f>
        <v>101639.15000000001</v>
      </c>
      <c r="G11" s="27"/>
    </row>
    <row r="12" spans="1:7" ht="22.05" customHeight="1">
      <c r="A12" s="130" t="s">
        <v>243</v>
      </c>
      <c r="B12" s="129">
        <f>B4+B5+B6+B9+B10+B11</f>
        <v>4989418</v>
      </c>
      <c r="C12" s="27"/>
      <c r="D12" s="25">
        <f t="shared" si="0"/>
        <v>-50913.470000000671</v>
      </c>
      <c r="E12" s="129">
        <f>E4+E5+E6+E9+E10+E11</f>
        <v>5040331.4700000007</v>
      </c>
      <c r="F12" s="27"/>
      <c r="G12" s="27"/>
    </row>
    <row r="13" spans="1:7" ht="22.05" customHeight="1"/>
    <row r="14" spans="1:7" ht="24.6" customHeight="1">
      <c r="A14" s="20" t="s">
        <v>166</v>
      </c>
      <c r="B14" s="21" t="s">
        <v>191</v>
      </c>
      <c r="C14" s="21" t="s">
        <v>178</v>
      </c>
      <c r="D14" s="21" t="s">
        <v>192</v>
      </c>
      <c r="E14" s="22" t="s">
        <v>87</v>
      </c>
      <c r="F14" s="21" t="s">
        <v>180</v>
      </c>
      <c r="G14" s="23" t="s">
        <v>181</v>
      </c>
    </row>
    <row r="15" spans="1:7" ht="22.05" customHeight="1">
      <c r="A15" s="24" t="s">
        <v>182</v>
      </c>
      <c r="B15" s="25">
        <v>5075158</v>
      </c>
      <c r="C15" s="25">
        <v>6350400</v>
      </c>
      <c r="D15" s="25">
        <f>B15-E15</f>
        <v>0</v>
      </c>
      <c r="E15" s="25">
        <v>5075158</v>
      </c>
      <c r="F15" s="26"/>
      <c r="G15" s="27"/>
    </row>
    <row r="16" spans="1:7" ht="22.05" customHeight="1">
      <c r="A16" s="24" t="s">
        <v>183</v>
      </c>
      <c r="B16" s="25">
        <v>170122</v>
      </c>
      <c r="C16" s="25">
        <f>B15*0.14</f>
        <v>710522.12000000011</v>
      </c>
      <c r="D16" s="25">
        <f t="shared" ref="D16:D24" si="1">B16-E16</f>
        <v>0</v>
      </c>
      <c r="E16" s="25">
        <v>170122</v>
      </c>
      <c r="F16" s="26"/>
      <c r="G16" s="27"/>
    </row>
    <row r="17" spans="1:7" ht="22.05" customHeight="1">
      <c r="A17" s="28" t="s">
        <v>184</v>
      </c>
      <c r="B17" s="25">
        <v>384967</v>
      </c>
      <c r="C17" s="25">
        <f>B15*0.2585</f>
        <v>1311928.3430000001</v>
      </c>
      <c r="D17" s="25">
        <f t="shared" si="1"/>
        <v>0</v>
      </c>
      <c r="E17" s="25">
        <v>384967</v>
      </c>
      <c r="F17" s="26"/>
      <c r="G17" s="27"/>
    </row>
    <row r="18" spans="1:7" ht="22.05" customHeight="1">
      <c r="A18" s="24" t="s">
        <v>185</v>
      </c>
      <c r="B18" s="25"/>
      <c r="C18" s="25"/>
      <c r="D18" s="25">
        <f t="shared" si="1"/>
        <v>0</v>
      </c>
      <c r="E18" s="25"/>
      <c r="F18" s="26"/>
      <c r="G18" s="27"/>
    </row>
    <row r="19" spans="1:7" ht="22.05" customHeight="1">
      <c r="A19" s="28" t="s">
        <v>186</v>
      </c>
      <c r="B19" s="25"/>
      <c r="C19" s="25"/>
      <c r="D19" s="25">
        <f t="shared" si="1"/>
        <v>0</v>
      </c>
      <c r="E19" s="25"/>
      <c r="F19" s="26"/>
      <c r="G19" s="27"/>
    </row>
    <row r="20" spans="1:7" ht="22.05" customHeight="1">
      <c r="A20" s="24" t="s">
        <v>187</v>
      </c>
      <c r="B20" s="25">
        <v>113160</v>
      </c>
      <c r="C20" s="25">
        <f>B15*0.12</f>
        <v>609018.96</v>
      </c>
      <c r="D20" s="25">
        <f t="shared" si="1"/>
        <v>-140599.9</v>
      </c>
      <c r="E20" s="25">
        <v>253759.9</v>
      </c>
      <c r="F20" s="25">
        <f>E15*0.05</f>
        <v>253757.90000000002</v>
      </c>
      <c r="G20" s="27"/>
    </row>
    <row r="21" spans="1:7" ht="22.05" customHeight="1">
      <c r="A21" s="24" t="s">
        <v>188</v>
      </c>
      <c r="B21" s="25">
        <v>103320</v>
      </c>
      <c r="C21" s="25">
        <f>B15*0.02</f>
        <v>101503.16</v>
      </c>
      <c r="D21" s="25">
        <f t="shared" si="1"/>
        <v>1816.8399999999965</v>
      </c>
      <c r="E21" s="25">
        <v>101503.16</v>
      </c>
      <c r="F21" s="26">
        <f>E15*0.02</f>
        <v>101503.16</v>
      </c>
      <c r="G21" s="27"/>
    </row>
    <row r="22" spans="1:7" ht="22.05" customHeight="1">
      <c r="A22" s="24" t="s">
        <v>189</v>
      </c>
      <c r="B22" s="25">
        <v>60000</v>
      </c>
      <c r="C22" s="25">
        <f>B15*0.025</f>
        <v>126878.95000000001</v>
      </c>
      <c r="D22" s="25">
        <f t="shared" si="1"/>
        <v>-66878.95</v>
      </c>
      <c r="E22" s="25">
        <v>126878.95</v>
      </c>
      <c r="F22" s="26">
        <f>E15*0.025</f>
        <v>126878.95000000001</v>
      </c>
      <c r="G22" s="27"/>
    </row>
    <row r="23" spans="1:7" ht="22.05" customHeight="1">
      <c r="A23" s="27" t="s">
        <v>190</v>
      </c>
      <c r="B23" s="27">
        <v>1560</v>
      </c>
      <c r="C23" s="27"/>
      <c r="D23" s="25">
        <f t="shared" si="1"/>
        <v>0</v>
      </c>
      <c r="E23" s="27">
        <v>1560</v>
      </c>
      <c r="F23" s="27"/>
      <c r="G23" s="27"/>
    </row>
    <row r="24" spans="1:7" ht="22.05" customHeight="1">
      <c r="A24" s="130" t="s">
        <v>243</v>
      </c>
      <c r="B24" s="129">
        <f>B15+B16+B17+B20+B22+B22+B23</f>
        <v>5864967</v>
      </c>
      <c r="C24" s="27"/>
      <c r="D24" s="25">
        <f t="shared" si="1"/>
        <v>-248982.01000000071</v>
      </c>
      <c r="E24" s="129">
        <f>E15+E16+E17++E20+E21+E22+E23</f>
        <v>6113949.0100000007</v>
      </c>
      <c r="F24" s="27"/>
      <c r="G24" s="27"/>
    </row>
    <row r="25" spans="1:7" ht="24.6" customHeight="1">
      <c r="A25" s="20" t="s">
        <v>166</v>
      </c>
      <c r="B25" s="21" t="s">
        <v>193</v>
      </c>
      <c r="C25" s="21" t="s">
        <v>178</v>
      </c>
      <c r="D25" s="21" t="s">
        <v>194</v>
      </c>
      <c r="E25" s="22" t="s">
        <v>89</v>
      </c>
      <c r="F25" s="21" t="s">
        <v>180</v>
      </c>
      <c r="G25" s="23" t="s">
        <v>181</v>
      </c>
    </row>
    <row r="26" spans="1:7" ht="22.05" customHeight="1">
      <c r="A26" s="24" t="s">
        <v>182</v>
      </c>
      <c r="B26" s="25">
        <v>7466108</v>
      </c>
      <c r="C26" s="25">
        <v>6731400</v>
      </c>
      <c r="D26" s="25">
        <f>B26-E26</f>
        <v>734708</v>
      </c>
      <c r="E26" s="25">
        <v>6731400</v>
      </c>
      <c r="F26" s="26"/>
      <c r="G26" s="27"/>
    </row>
    <row r="27" spans="1:7" ht="22.05" customHeight="1">
      <c r="A27" s="24" t="s">
        <v>183</v>
      </c>
      <c r="B27" s="25">
        <v>119930</v>
      </c>
      <c r="C27" s="25">
        <f>B26*0.14</f>
        <v>1045255.1200000001</v>
      </c>
      <c r="D27" s="25">
        <f t="shared" ref="D27:D34" si="2">B27-E27</f>
        <v>119930</v>
      </c>
      <c r="E27" s="25"/>
      <c r="F27" s="26"/>
      <c r="G27" s="27"/>
    </row>
    <row r="28" spans="1:7" ht="22.05" customHeight="1">
      <c r="A28" s="210" t="s">
        <v>289</v>
      </c>
      <c r="B28" s="25">
        <v>691567</v>
      </c>
      <c r="C28" s="25">
        <f>B26*0.2585</f>
        <v>1929988.9180000001</v>
      </c>
      <c r="D28" s="25">
        <f t="shared" si="2"/>
        <v>691567</v>
      </c>
      <c r="E28" s="25"/>
      <c r="F28" s="26"/>
      <c r="G28" s="27"/>
    </row>
    <row r="29" spans="1:7" ht="22.05" customHeight="1">
      <c r="A29" s="24" t="s">
        <v>185</v>
      </c>
      <c r="B29" s="25"/>
      <c r="C29" s="25"/>
      <c r="D29" s="25">
        <f t="shared" si="2"/>
        <v>0</v>
      </c>
      <c r="E29" s="25"/>
      <c r="F29" s="26"/>
      <c r="G29" s="27"/>
    </row>
    <row r="30" spans="1:7" ht="22.05" customHeight="1">
      <c r="A30" s="28" t="s">
        <v>186</v>
      </c>
      <c r="B30" s="25"/>
      <c r="C30" s="25"/>
      <c r="D30" s="25">
        <f t="shared" si="2"/>
        <v>0</v>
      </c>
      <c r="E30" s="25"/>
      <c r="F30" s="26"/>
      <c r="G30" s="27"/>
    </row>
    <row r="31" spans="1:7" ht="22.05" customHeight="1">
      <c r="A31" s="24" t="s">
        <v>187</v>
      </c>
      <c r="B31" s="25">
        <v>207968</v>
      </c>
      <c r="C31" s="25">
        <f>E26*0.12</f>
        <v>807768</v>
      </c>
      <c r="D31" s="25">
        <f t="shared" si="2"/>
        <v>207968</v>
      </c>
      <c r="E31" s="25"/>
      <c r="F31" s="25"/>
      <c r="G31" s="27"/>
    </row>
    <row r="32" spans="1:7" ht="22.05" customHeight="1">
      <c r="A32" s="24" t="s">
        <v>188</v>
      </c>
      <c r="B32" s="25">
        <v>149293</v>
      </c>
      <c r="C32" s="25">
        <f>E26*0.02</f>
        <v>134628</v>
      </c>
      <c r="D32" s="25">
        <f t="shared" si="2"/>
        <v>45973</v>
      </c>
      <c r="E32" s="25">
        <v>103320</v>
      </c>
      <c r="F32" s="26">
        <f>E26*0.02</f>
        <v>134628</v>
      </c>
      <c r="G32" s="27"/>
    </row>
    <row r="33" spans="1:7" ht="22.05" customHeight="1">
      <c r="A33" s="24" t="s">
        <v>189</v>
      </c>
      <c r="B33" s="25">
        <v>13872</v>
      </c>
      <c r="C33" s="25">
        <f>E26*0.025</f>
        <v>168285</v>
      </c>
      <c r="D33" s="25">
        <f t="shared" si="2"/>
        <v>-154413</v>
      </c>
      <c r="E33" s="25">
        <v>168285</v>
      </c>
      <c r="F33" s="26">
        <f>E26*0.025</f>
        <v>168285</v>
      </c>
      <c r="G33" s="27"/>
    </row>
    <row r="34" spans="1:7" ht="22.05" customHeight="1">
      <c r="A34" s="27" t="s">
        <v>190</v>
      </c>
      <c r="B34" s="27"/>
      <c r="C34" s="27"/>
      <c r="D34" s="25">
        <f t="shared" si="2"/>
        <v>0</v>
      </c>
      <c r="E34" s="27"/>
      <c r="F34" s="27"/>
      <c r="G34" s="27"/>
    </row>
    <row r="35" spans="1:7" ht="24.6" customHeight="1">
      <c r="A35" s="27"/>
      <c r="B35" s="129">
        <f>B26+B27+B28+B31+B32+B33</f>
        <v>8648738</v>
      </c>
      <c r="C35" s="27"/>
      <c r="D35" s="25">
        <f>B35-E35</f>
        <v>1645733</v>
      </c>
      <c r="E35" s="129">
        <f>E26+E27+E28++E31+E32+E33</f>
        <v>7003005</v>
      </c>
      <c r="F35" s="27"/>
      <c r="G35" s="27"/>
    </row>
  </sheetData>
  <mergeCells count="1">
    <mergeCell ref="A1:F1"/>
  </mergeCells>
  <phoneticPr fontId="34" type="noConversion"/>
  <printOptions horizontalCentered="1"/>
  <pageMargins left="3.937007874015748E-2" right="7.874015748031496E-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dimension ref="A1:K35"/>
  <sheetViews>
    <sheetView tabSelected="1" workbookViewId="0">
      <selection activeCell="J15" sqref="J15"/>
    </sheetView>
  </sheetViews>
  <sheetFormatPr defaultColWidth="9" defaultRowHeight="14.4"/>
  <cols>
    <col min="1" max="1" width="20.109375" style="6" customWidth="1"/>
    <col min="2" max="2" width="10.88671875" style="7" customWidth="1"/>
    <col min="3" max="3" width="6.109375" style="7" customWidth="1"/>
    <col min="4" max="4" width="5.88671875" style="7" customWidth="1"/>
    <col min="5" max="5" width="11.88671875" style="8" customWidth="1"/>
    <col min="6" max="6" width="15.33203125" style="6" customWidth="1"/>
    <col min="7" max="7" width="15" style="6" customWidth="1"/>
    <col min="8" max="8" width="11.21875" style="6" customWidth="1"/>
    <col min="9" max="9" width="11.6640625" style="6" customWidth="1"/>
    <col min="10" max="10" width="13.109375" style="6" customWidth="1"/>
    <col min="11" max="11" width="6.5546875" style="6" customWidth="1"/>
    <col min="12" max="16384" width="9" style="6"/>
  </cols>
  <sheetData>
    <row r="1" spans="1:11" ht="40.799999999999997" customHeight="1">
      <c r="A1" s="202" t="s">
        <v>245</v>
      </c>
      <c r="B1" s="202"/>
      <c r="C1" s="202"/>
      <c r="D1" s="202"/>
      <c r="E1" s="203"/>
      <c r="F1" s="202" t="s">
        <v>285</v>
      </c>
      <c r="G1" s="202"/>
      <c r="H1" s="202"/>
      <c r="I1" s="202"/>
      <c r="J1" s="203"/>
      <c r="K1" s="142" t="s">
        <v>286</v>
      </c>
    </row>
    <row r="2" spans="1:11" ht="34.200000000000003" customHeight="1">
      <c r="A2" s="9" t="s">
        <v>195</v>
      </c>
      <c r="B2" s="10" t="s">
        <v>196</v>
      </c>
      <c r="C2" s="10" t="s">
        <v>197</v>
      </c>
      <c r="D2" s="10" t="s">
        <v>198</v>
      </c>
      <c r="E2" s="11" t="s">
        <v>199</v>
      </c>
      <c r="F2" s="9" t="s">
        <v>195</v>
      </c>
      <c r="G2" s="10" t="s">
        <v>196</v>
      </c>
      <c r="H2" s="10" t="s">
        <v>197</v>
      </c>
      <c r="I2" s="10" t="s">
        <v>198</v>
      </c>
      <c r="J2" s="11" t="s">
        <v>199</v>
      </c>
      <c r="K2" s="23" t="s">
        <v>250</v>
      </c>
    </row>
    <row r="3" spans="1:11" ht="35.4" customHeight="1">
      <c r="A3" s="12" t="s">
        <v>200</v>
      </c>
      <c r="B3" s="13">
        <f>B4+B10+B23+B30</f>
        <v>30708896</v>
      </c>
      <c r="C3" s="13"/>
      <c r="D3" s="13">
        <f>D4+D10+D23+D30</f>
        <v>0</v>
      </c>
      <c r="E3" s="14">
        <f>E4+E10+E23+E30</f>
        <v>1845618.0574999999</v>
      </c>
      <c r="F3" s="204" t="s">
        <v>246</v>
      </c>
      <c r="G3" s="205"/>
      <c r="H3" s="205"/>
      <c r="I3" s="205"/>
      <c r="J3" s="206"/>
      <c r="K3" s="27"/>
    </row>
    <row r="4" spans="1:11" ht="39" customHeight="1">
      <c r="A4" s="15" t="s">
        <v>201</v>
      </c>
      <c r="B4" s="13">
        <f>SUM(B5:B9)</f>
        <v>27993489</v>
      </c>
      <c r="C4" s="13"/>
      <c r="D4" s="13"/>
      <c r="E4" s="14">
        <f>SUM(E5:E9)</f>
        <v>1329690.7274999998</v>
      </c>
      <c r="F4" s="15" t="s">
        <v>201</v>
      </c>
      <c r="G4" s="13">
        <v>24167711.629999999</v>
      </c>
      <c r="H4" s="13">
        <v>30</v>
      </c>
      <c r="I4" s="17">
        <v>0.05</v>
      </c>
      <c r="J4" s="14">
        <f>G4*0.95/H4</f>
        <v>765310.86828333326</v>
      </c>
      <c r="K4" s="27"/>
    </row>
    <row r="5" spans="1:11" ht="25.2" customHeight="1">
      <c r="A5" s="16" t="s">
        <v>202</v>
      </c>
      <c r="B5" s="13">
        <v>18485158</v>
      </c>
      <c r="C5" s="7">
        <v>20</v>
      </c>
      <c r="D5" s="17">
        <v>0.05</v>
      </c>
      <c r="E5" s="14">
        <f>B5*(1-D5)/C5</f>
        <v>878045.00499999989</v>
      </c>
      <c r="F5" s="144" t="s">
        <v>247</v>
      </c>
      <c r="G5" s="13">
        <v>1167030.8999999999</v>
      </c>
      <c r="H5" s="7">
        <v>6</v>
      </c>
      <c r="I5" s="17">
        <v>0.05</v>
      </c>
      <c r="J5" s="14">
        <f>G5*0.95/H5</f>
        <v>184779.89249999996</v>
      </c>
      <c r="K5" s="27"/>
    </row>
    <row r="6" spans="1:11" ht="25.2" customHeight="1">
      <c r="A6" s="16" t="s">
        <v>203</v>
      </c>
      <c r="B6" s="13"/>
      <c r="C6" s="13"/>
      <c r="D6" s="13"/>
      <c r="E6" s="14"/>
      <c r="F6" s="144" t="s">
        <v>248</v>
      </c>
      <c r="G6" s="13">
        <v>2562742</v>
      </c>
      <c r="H6" s="13">
        <v>5</v>
      </c>
      <c r="I6" s="17">
        <v>0.05</v>
      </c>
      <c r="J6" s="14">
        <f t="shared" ref="J6" si="0">G6*0.95/H6</f>
        <v>486920.98</v>
      </c>
      <c r="K6" s="27"/>
    </row>
    <row r="7" spans="1:11" ht="27.6" customHeight="1">
      <c r="A7" s="16" t="s">
        <v>204</v>
      </c>
      <c r="B7" s="13">
        <v>7561931</v>
      </c>
      <c r="C7" s="13">
        <v>20</v>
      </c>
      <c r="D7" s="17">
        <v>0.05</v>
      </c>
      <c r="E7" s="14">
        <f>B7*(1-D7)/C7</f>
        <v>359191.72249999997</v>
      </c>
      <c r="F7" s="143" t="s">
        <v>243</v>
      </c>
      <c r="G7" s="13">
        <f>G4+G5+G6</f>
        <v>27897484.529999997</v>
      </c>
      <c r="H7" s="13"/>
      <c r="I7" s="17"/>
      <c r="J7" s="13">
        <f>J4+J5+J6</f>
        <v>1437011.7407833333</v>
      </c>
      <c r="K7" s="27"/>
    </row>
    <row r="8" spans="1:11" ht="35.4" customHeight="1">
      <c r="A8" s="16"/>
      <c r="B8" s="13"/>
      <c r="C8" s="13"/>
      <c r="D8" s="17"/>
      <c r="E8" s="14"/>
      <c r="F8" s="149" t="s">
        <v>263</v>
      </c>
      <c r="G8" s="150" t="s">
        <v>264</v>
      </c>
      <c r="H8" s="13" t="s">
        <v>265</v>
      </c>
      <c r="I8" s="17" t="s">
        <v>266</v>
      </c>
      <c r="J8" s="13"/>
      <c r="K8" s="27"/>
    </row>
    <row r="9" spans="1:11" ht="25.8" customHeight="1">
      <c r="A9" s="16" t="s">
        <v>205</v>
      </c>
      <c r="B9" s="13">
        <v>1946400</v>
      </c>
      <c r="C9" s="13">
        <v>20</v>
      </c>
      <c r="D9" s="17">
        <v>0.05</v>
      </c>
      <c r="E9" s="14">
        <f>B9*(1-D9)/C9</f>
        <v>92454</v>
      </c>
      <c r="F9" s="149"/>
      <c r="G9" s="151">
        <f>J7*0.688</f>
        <v>988664.07765893324</v>
      </c>
      <c r="H9" s="152">
        <f>J7*0.05</f>
        <v>71850.587039166669</v>
      </c>
      <c r="I9" s="152">
        <f>J7*0.126</f>
        <v>181063.47933870001</v>
      </c>
      <c r="J9" s="14"/>
      <c r="K9" s="27"/>
    </row>
    <row r="10" spans="1:11" ht="31.2" customHeight="1">
      <c r="A10" s="18" t="s">
        <v>206</v>
      </c>
      <c r="B10" s="13">
        <f>SUM(B11:B22)</f>
        <v>1031730</v>
      </c>
      <c r="C10" s="13"/>
      <c r="D10" s="13"/>
      <c r="E10" s="14">
        <f>SUM(E11:E22)</f>
        <v>196028.7</v>
      </c>
      <c r="F10" s="207" t="s">
        <v>249</v>
      </c>
      <c r="G10" s="208"/>
      <c r="H10" s="208"/>
      <c r="I10" s="208"/>
      <c r="J10" s="209"/>
      <c r="K10" s="27"/>
    </row>
    <row r="11" spans="1:11" ht="35.4" customHeight="1">
      <c r="A11" s="16" t="s">
        <v>207</v>
      </c>
      <c r="B11" s="13">
        <v>76600</v>
      </c>
      <c r="C11" s="13">
        <v>5</v>
      </c>
      <c r="D11" s="17">
        <v>0.05</v>
      </c>
      <c r="E11" s="14">
        <f>B11*(1-D11)/C11</f>
        <v>14554</v>
      </c>
      <c r="F11" s="15" t="s">
        <v>201</v>
      </c>
      <c r="G11" s="13">
        <v>24256867.23</v>
      </c>
      <c r="H11" s="13">
        <v>30</v>
      </c>
      <c r="I11" s="17">
        <v>0.05</v>
      </c>
      <c r="J11" s="14">
        <f t="shared" ref="J11:J13" si="1">G11*0.95/H11</f>
        <v>768134.12894999993</v>
      </c>
      <c r="K11" s="27"/>
    </row>
    <row r="12" spans="1:11" ht="28.8" customHeight="1">
      <c r="A12" s="16" t="s">
        <v>208</v>
      </c>
      <c r="B12" s="13">
        <v>105744</v>
      </c>
      <c r="C12" s="13">
        <v>5</v>
      </c>
      <c r="D12" s="17">
        <v>0.05</v>
      </c>
      <c r="E12" s="14">
        <f>B12*(1-D12)/C12</f>
        <v>20091.359999999997</v>
      </c>
      <c r="F12" s="144" t="s">
        <v>247</v>
      </c>
      <c r="G12" s="13">
        <v>1202667.06</v>
      </c>
      <c r="H12" s="7">
        <v>6</v>
      </c>
      <c r="I12" s="17">
        <v>0.05</v>
      </c>
      <c r="J12" s="14">
        <f t="shared" si="1"/>
        <v>190422.28449999998</v>
      </c>
      <c r="K12" s="27"/>
    </row>
    <row r="13" spans="1:11" ht="29.4" customHeight="1">
      <c r="A13" s="16" t="s">
        <v>209</v>
      </c>
      <c r="B13" s="13">
        <v>22400</v>
      </c>
      <c r="C13" s="13">
        <v>5</v>
      </c>
      <c r="D13" s="17">
        <v>0.05</v>
      </c>
      <c r="E13" s="14">
        <f>B13*(1-D13)/C13</f>
        <v>4256</v>
      </c>
      <c r="F13" s="144" t="s">
        <v>248</v>
      </c>
      <c r="G13" s="13">
        <v>2562742</v>
      </c>
      <c r="H13" s="13">
        <v>5</v>
      </c>
      <c r="I13" s="17">
        <v>0.05</v>
      </c>
      <c r="J13" s="14">
        <f t="shared" si="1"/>
        <v>486920.98</v>
      </c>
      <c r="K13" s="27"/>
    </row>
    <row r="14" spans="1:11" ht="27.6" customHeight="1">
      <c r="A14" s="16" t="s">
        <v>210</v>
      </c>
      <c r="B14" s="13"/>
      <c r="C14" s="13"/>
      <c r="D14" s="13"/>
      <c r="E14" s="14"/>
      <c r="F14" s="143" t="s">
        <v>243</v>
      </c>
      <c r="G14" s="13">
        <f>G11+G12+G13</f>
        <v>28022276.289999999</v>
      </c>
      <c r="H14" s="13"/>
      <c r="I14" s="17"/>
      <c r="J14" s="13">
        <f>J11+J12+J13</f>
        <v>1445477.3934499999</v>
      </c>
      <c r="K14" s="27"/>
    </row>
    <row r="15" spans="1:11" ht="33" customHeight="1">
      <c r="A15" s="16"/>
      <c r="B15" s="13"/>
      <c r="C15" s="13"/>
      <c r="D15" s="13"/>
      <c r="E15" s="14"/>
      <c r="F15" s="149" t="s">
        <v>263</v>
      </c>
      <c r="G15" s="150" t="s">
        <v>267</v>
      </c>
      <c r="H15" s="13" t="s">
        <v>268</v>
      </c>
      <c r="I15" s="17" t="s">
        <v>269</v>
      </c>
      <c r="J15" s="13"/>
      <c r="K15" s="27"/>
    </row>
    <row r="16" spans="1:11" ht="30" customHeight="1">
      <c r="A16" s="16" t="s">
        <v>211</v>
      </c>
      <c r="B16" s="13"/>
      <c r="C16" s="13"/>
      <c r="D16" s="13"/>
      <c r="E16" s="14"/>
      <c r="F16" s="149"/>
      <c r="G16" s="151">
        <f>J14*0.751</f>
        <v>1085553.52248095</v>
      </c>
      <c r="H16" s="152">
        <f>J14*0.04</f>
        <v>57819.095737999996</v>
      </c>
      <c r="I16" s="152">
        <f>J14*0.1</f>
        <v>144547.73934499998</v>
      </c>
      <c r="J16" s="14"/>
      <c r="K16" s="27"/>
    </row>
    <row r="17" spans="1:11" ht="21.75" customHeight="1">
      <c r="A17" s="16" t="s">
        <v>212</v>
      </c>
      <c r="B17" s="13">
        <v>581822</v>
      </c>
      <c r="C17" s="13">
        <v>5</v>
      </c>
      <c r="D17" s="17">
        <v>0.05</v>
      </c>
      <c r="E17" s="14">
        <f>B17*(1-D17)/C17</f>
        <v>110546.18000000001</v>
      </c>
      <c r="F17" s="207" t="s">
        <v>287</v>
      </c>
      <c r="G17" s="208"/>
      <c r="H17" s="208"/>
      <c r="I17" s="208"/>
      <c r="J17" s="209"/>
      <c r="K17" s="27"/>
    </row>
    <row r="18" spans="1:11" ht="34.200000000000003" customHeight="1">
      <c r="A18" s="16" t="s">
        <v>213</v>
      </c>
      <c r="B18" s="13"/>
      <c r="C18" s="13"/>
      <c r="D18" s="13"/>
      <c r="E18" s="14"/>
      <c r="F18" s="15" t="s">
        <v>201</v>
      </c>
      <c r="G18" s="13">
        <v>26679258.210000001</v>
      </c>
      <c r="H18" s="13">
        <v>30</v>
      </c>
      <c r="I18" s="17">
        <v>0.05</v>
      </c>
      <c r="J18" s="14">
        <f t="shared" ref="J18:J20" si="2">G18*0.95/H18</f>
        <v>844843.17665000004</v>
      </c>
      <c r="K18" s="27"/>
    </row>
    <row r="19" spans="1:11" ht="34.200000000000003" customHeight="1">
      <c r="A19" s="16" t="s">
        <v>214</v>
      </c>
      <c r="B19" s="13">
        <v>28641</v>
      </c>
      <c r="C19" s="13">
        <v>5</v>
      </c>
      <c r="D19" s="17">
        <v>0.05</v>
      </c>
      <c r="E19" s="14">
        <f t="shared" ref="E19:E33" si="3">B19*(1-D19)/C19</f>
        <v>5441.7899999999991</v>
      </c>
      <c r="F19" s="144" t="s">
        <v>247</v>
      </c>
      <c r="G19" s="13">
        <v>1202667.06</v>
      </c>
      <c r="H19" s="7">
        <v>6</v>
      </c>
      <c r="I19" s="17">
        <v>0.05</v>
      </c>
      <c r="J19" s="14">
        <f t="shared" si="2"/>
        <v>190422.28449999998</v>
      </c>
      <c r="K19" s="27"/>
    </row>
    <row r="20" spans="1:11" ht="21.75" customHeight="1">
      <c r="A20" s="16" t="s">
        <v>215</v>
      </c>
      <c r="B20" s="13">
        <v>75623</v>
      </c>
      <c r="C20" s="13">
        <v>5</v>
      </c>
      <c r="D20" s="17">
        <v>0.05</v>
      </c>
      <c r="E20" s="14">
        <f t="shared" si="3"/>
        <v>14368.369999999999</v>
      </c>
      <c r="F20" s="144" t="s">
        <v>248</v>
      </c>
      <c r="G20" s="13">
        <v>2764277</v>
      </c>
      <c r="H20" s="13">
        <v>5</v>
      </c>
      <c r="I20" s="17">
        <v>0.05</v>
      </c>
      <c r="J20" s="14">
        <f t="shared" si="2"/>
        <v>525212.63</v>
      </c>
      <c r="K20" s="27"/>
    </row>
    <row r="21" spans="1:11" ht="39.6" customHeight="1">
      <c r="A21" s="16" t="s">
        <v>284</v>
      </c>
      <c r="B21" s="13">
        <v>140900</v>
      </c>
      <c r="C21" s="13">
        <v>5</v>
      </c>
      <c r="D21" s="17">
        <v>0.05</v>
      </c>
      <c r="E21" s="14">
        <f>B21*(1-D21)/C21</f>
        <v>26771</v>
      </c>
      <c r="F21" s="143" t="s">
        <v>243</v>
      </c>
      <c r="G21" s="13">
        <f>G18+G19+G20</f>
        <v>30646202.27</v>
      </c>
      <c r="H21" s="13"/>
      <c r="I21" s="17"/>
      <c r="J21" s="13">
        <f>J18+J19+J20</f>
        <v>1560478.09115</v>
      </c>
      <c r="K21" s="27"/>
    </row>
    <row r="22" spans="1:11" ht="36" customHeight="1">
      <c r="A22" s="16" t="s">
        <v>216</v>
      </c>
      <c r="B22" s="13"/>
      <c r="C22" s="13"/>
      <c r="D22" s="13"/>
      <c r="E22" s="14"/>
      <c r="F22" s="149" t="s">
        <v>263</v>
      </c>
      <c r="G22" s="150" t="s">
        <v>270</v>
      </c>
      <c r="H22" s="13" t="s">
        <v>271</v>
      </c>
      <c r="I22" s="17" t="s">
        <v>272</v>
      </c>
      <c r="J22" s="27"/>
      <c r="K22" s="27"/>
    </row>
    <row r="23" spans="1:11" ht="21.75" customHeight="1">
      <c r="A23" s="18" t="s">
        <v>217</v>
      </c>
      <c r="B23" s="13">
        <f>SUM(B24:B29)</f>
        <v>983486</v>
      </c>
      <c r="C23" s="13"/>
      <c r="D23" s="13"/>
      <c r="E23" s="14">
        <f>SUM(E24:E29)</f>
        <v>186862.34</v>
      </c>
      <c r="F23" s="27"/>
      <c r="G23" s="153">
        <f>J21*0.767</f>
        <v>1196886.6959120501</v>
      </c>
      <c r="H23" s="153">
        <f>J21*0.032</f>
        <v>49935.298916799999</v>
      </c>
      <c r="I23" s="153">
        <f>J21*0.08</f>
        <v>124838.247292</v>
      </c>
      <c r="J23" s="27"/>
      <c r="K23" s="27"/>
    </row>
    <row r="24" spans="1:11" ht="21.75" customHeight="1">
      <c r="A24" s="16" t="s">
        <v>218</v>
      </c>
      <c r="B24" s="13">
        <v>394800</v>
      </c>
      <c r="C24" s="13">
        <v>5</v>
      </c>
      <c r="D24" s="17">
        <v>0.05</v>
      </c>
      <c r="E24" s="14">
        <f t="shared" si="3"/>
        <v>75012</v>
      </c>
    </row>
    <row r="25" spans="1:11" ht="21.75" customHeight="1">
      <c r="A25" s="16" t="s">
        <v>219</v>
      </c>
      <c r="B25" s="13">
        <v>66980</v>
      </c>
      <c r="C25" s="13">
        <v>5</v>
      </c>
      <c r="D25" s="17">
        <v>0.05</v>
      </c>
      <c r="E25" s="14">
        <f t="shared" si="3"/>
        <v>12726.2</v>
      </c>
    </row>
    <row r="26" spans="1:11" ht="21.75" customHeight="1">
      <c r="A26" s="16" t="s">
        <v>220</v>
      </c>
      <c r="B26" s="13">
        <v>153000</v>
      </c>
      <c r="C26" s="13">
        <v>5</v>
      </c>
      <c r="D26" s="17">
        <v>0.05</v>
      </c>
      <c r="E26" s="14">
        <f t="shared" si="3"/>
        <v>29070</v>
      </c>
    </row>
    <row r="27" spans="1:11" ht="21.75" customHeight="1">
      <c r="A27" s="16" t="s">
        <v>221</v>
      </c>
      <c r="B27" s="13">
        <v>64994</v>
      </c>
      <c r="C27" s="13">
        <v>5</v>
      </c>
      <c r="D27" s="17">
        <v>0.05</v>
      </c>
      <c r="E27" s="14">
        <f>B27*(1-D27)/C27</f>
        <v>12348.859999999999</v>
      </c>
    </row>
    <row r="28" spans="1:11" ht="21.75" customHeight="1">
      <c r="A28" s="16" t="s">
        <v>222</v>
      </c>
      <c r="B28" s="13">
        <v>107115</v>
      </c>
      <c r="C28" s="13">
        <v>5</v>
      </c>
      <c r="D28" s="17">
        <v>0.05</v>
      </c>
      <c r="E28" s="14">
        <f>B28*(1-D28)/C28</f>
        <v>20351.849999999999</v>
      </c>
    </row>
    <row r="29" spans="1:11" ht="21.75" customHeight="1">
      <c r="A29" s="16" t="s">
        <v>223</v>
      </c>
      <c r="B29" s="13">
        <v>196597</v>
      </c>
      <c r="C29" s="13">
        <v>5</v>
      </c>
      <c r="D29" s="17">
        <v>0.05</v>
      </c>
      <c r="E29" s="14">
        <f t="shared" si="3"/>
        <v>37353.43</v>
      </c>
    </row>
    <row r="30" spans="1:11" ht="36.6" customHeight="1">
      <c r="A30" s="18" t="s">
        <v>224</v>
      </c>
      <c r="B30" s="13">
        <f>B31+B33</f>
        <v>700191</v>
      </c>
      <c r="C30" s="13"/>
      <c r="D30" s="13"/>
      <c r="E30" s="14">
        <f>E31+E33</f>
        <v>133036.29</v>
      </c>
    </row>
    <row r="31" spans="1:11" ht="21.75" customHeight="1">
      <c r="A31" s="16" t="s">
        <v>225</v>
      </c>
      <c r="B31" s="13">
        <v>548611</v>
      </c>
      <c r="C31" s="13">
        <v>5</v>
      </c>
      <c r="D31" s="17">
        <v>0.05</v>
      </c>
      <c r="E31" s="14">
        <f t="shared" si="3"/>
        <v>104236.09</v>
      </c>
    </row>
    <row r="32" spans="1:11" ht="33" customHeight="1">
      <c r="A32" s="16" t="s">
        <v>226</v>
      </c>
      <c r="B32" s="13">
        <v>520015</v>
      </c>
      <c r="C32" s="13">
        <v>5</v>
      </c>
      <c r="D32" s="17">
        <v>0.05</v>
      </c>
      <c r="E32" s="14">
        <f t="shared" si="3"/>
        <v>98802.85</v>
      </c>
    </row>
    <row r="33" spans="1:5" ht="21.75" customHeight="1">
      <c r="A33" s="16" t="s">
        <v>227</v>
      </c>
      <c r="B33" s="13">
        <v>151580</v>
      </c>
      <c r="C33" s="13">
        <v>5</v>
      </c>
      <c r="D33" s="17">
        <v>0.05</v>
      </c>
      <c r="E33" s="14">
        <f t="shared" si="3"/>
        <v>28800.2</v>
      </c>
    </row>
    <row r="34" spans="1:5">
      <c r="A34" s="198" t="s">
        <v>228</v>
      </c>
      <c r="B34" s="198"/>
      <c r="C34" s="198"/>
      <c r="D34" s="198"/>
      <c r="E34" s="199"/>
    </row>
    <row r="35" spans="1:5" ht="22.8" customHeight="1">
      <c r="A35" s="200"/>
      <c r="B35" s="200"/>
      <c r="C35" s="200"/>
      <c r="D35" s="200"/>
      <c r="E35" s="201"/>
    </row>
  </sheetData>
  <mergeCells count="6">
    <mergeCell ref="A34:E35"/>
    <mergeCell ref="F1:J1"/>
    <mergeCell ref="F3:J3"/>
    <mergeCell ref="F10:J10"/>
    <mergeCell ref="F17:J17"/>
    <mergeCell ref="A1:E1"/>
  </mergeCells>
  <phoneticPr fontId="34" type="noConversion"/>
  <pageMargins left="0.9055118110236221"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lpstr>分摊系数表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webUser</cp:lastModifiedBy>
  <cp:lastPrinted>2022-08-18T07:40:16Z</cp:lastPrinted>
  <dcterms:created xsi:type="dcterms:W3CDTF">2022-07-04T01:13:00Z</dcterms:created>
  <dcterms:modified xsi:type="dcterms:W3CDTF">2022-08-18T07:44:54Z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7A9F40178E854924B2B557239D8C2C74</vt:lpwstr>
  </property>
  <property fmtid="{D5CDD505-2E9C-101B-9397-08002B2CF9AE}" pid="3" name="KSOProductBuildVer">
    <vt:lpwstr>2052-11.1.0.11805</vt:lpwstr>
  </property>
</Properties>
</file>