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240" windowHeight="12090" tabRatio="772" activeTab="2"/>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12" r:id="rId6"/>
    <sheet name="教职工人数核定表" sheetId="7" r:id="rId7"/>
    <sheet name="薪酬核定表" sheetId="8" r:id="rId8"/>
    <sheet name="固定资产折旧计算表" sheetId="9" r:id="rId9"/>
    <sheet name="承若书" sheetId="10" r:id="rId10"/>
  </sheets>
  <externalReferences>
    <externalReference r:id="rId11"/>
    <externalReference r:id="rId12"/>
  </externalReferences>
  <definedNames>
    <definedName name="_xlnm.Print_Titles" localSheetId="3">教育成本归集表!$1:$4</definedName>
  </definedNames>
  <calcPr calcId="125725"/>
</workbook>
</file>

<file path=xl/calcChain.xml><?xml version="1.0" encoding="utf-8"?>
<calcChain xmlns="http://schemas.openxmlformats.org/spreadsheetml/2006/main">
  <c r="C27" i="8"/>
  <c r="C17" i="9"/>
  <c r="H18"/>
  <c r="H17"/>
  <c r="G44" i="4" s="1"/>
  <c r="L20" i="9"/>
  <c r="L19"/>
  <c r="M17"/>
  <c r="M19" s="1"/>
  <c r="D22" i="3"/>
  <c r="J36" i="4"/>
  <c r="I36" s="1"/>
  <c r="G36"/>
  <c r="G12" s="1"/>
  <c r="C16" i="5" s="1"/>
  <c r="G22" i="4"/>
  <c r="D15" i="3"/>
  <c r="G9" i="4"/>
  <c r="F9"/>
  <c r="D9"/>
  <c r="J9"/>
  <c r="D5"/>
  <c r="C5" s="1"/>
  <c r="D20" i="5"/>
  <c r="D19"/>
  <c r="D17"/>
  <c r="C20"/>
  <c r="C17"/>
  <c r="B20"/>
  <c r="B18"/>
  <c r="B17"/>
  <c r="B15"/>
  <c r="G5" i="4"/>
  <c r="D4" i="8"/>
  <c r="C4" s="1"/>
  <c r="H44" i="4"/>
  <c r="H55"/>
  <c r="C25" i="12"/>
  <c r="D27"/>
  <c r="C27"/>
  <c r="B27"/>
  <c r="D26"/>
  <c r="C26"/>
  <c r="B26"/>
  <c r="E19"/>
  <c r="E18"/>
  <c r="C24"/>
  <c r="D24"/>
  <c r="D25"/>
  <c r="D44" i="4"/>
  <c r="B24" i="12"/>
  <c r="E4"/>
  <c r="E5"/>
  <c r="I54" i="4"/>
  <c r="I53"/>
  <c r="I52"/>
  <c r="I51"/>
  <c r="I45"/>
  <c r="I43"/>
  <c r="I42"/>
  <c r="I41"/>
  <c r="I40"/>
  <c r="I39"/>
  <c r="I38"/>
  <c r="I37"/>
  <c r="I35"/>
  <c r="I34"/>
  <c r="I33"/>
  <c r="I32"/>
  <c r="I29"/>
  <c r="I28"/>
  <c r="I27"/>
  <c r="I26"/>
  <c r="I25"/>
  <c r="I24"/>
  <c r="I23"/>
  <c r="I22"/>
  <c r="I21"/>
  <c r="I20"/>
  <c r="I19"/>
  <c r="I18"/>
  <c r="I17"/>
  <c r="I16"/>
  <c r="I15"/>
  <c r="I14"/>
  <c r="I13"/>
  <c r="I11"/>
  <c r="I10"/>
  <c r="I9"/>
  <c r="I8"/>
  <c r="J37"/>
  <c r="H21"/>
  <c r="H18"/>
  <c r="H17"/>
  <c r="F54"/>
  <c r="F53"/>
  <c r="F52"/>
  <c r="F51"/>
  <c r="F50"/>
  <c r="F49"/>
  <c r="F45"/>
  <c r="F43"/>
  <c r="F42"/>
  <c r="F41"/>
  <c r="F40"/>
  <c r="F39"/>
  <c r="F38"/>
  <c r="F37"/>
  <c r="F36"/>
  <c r="F35"/>
  <c r="F34"/>
  <c r="F33"/>
  <c r="F32"/>
  <c r="F31"/>
  <c r="F30"/>
  <c r="F29"/>
  <c r="F28"/>
  <c r="F27"/>
  <c r="F26"/>
  <c r="F25"/>
  <c r="F24"/>
  <c r="F23"/>
  <c r="F22"/>
  <c r="F21"/>
  <c r="F20"/>
  <c r="F19"/>
  <c r="F18"/>
  <c r="F17"/>
  <c r="F16"/>
  <c r="F15"/>
  <c r="F14"/>
  <c r="F13"/>
  <c r="F11"/>
  <c r="F10"/>
  <c r="F8"/>
  <c r="F7"/>
  <c r="F6"/>
  <c r="G37"/>
  <c r="E13"/>
  <c r="D12"/>
  <c r="B16" i="5" s="1"/>
  <c r="C54" i="4"/>
  <c r="C53"/>
  <c r="C52"/>
  <c r="C51"/>
  <c r="C50"/>
  <c r="C49"/>
  <c r="C47"/>
  <c r="C45"/>
  <c r="C43"/>
  <c r="C42"/>
  <c r="C41"/>
  <c r="C40"/>
  <c r="C39"/>
  <c r="C38"/>
  <c r="C37"/>
  <c r="C36"/>
  <c r="C35"/>
  <c r="C34"/>
  <c r="C33"/>
  <c r="C32"/>
  <c r="C31"/>
  <c r="C30"/>
  <c r="C29"/>
  <c r="C28"/>
  <c r="C27"/>
  <c r="C26"/>
  <c r="C25"/>
  <c r="C24"/>
  <c r="C23"/>
  <c r="C22"/>
  <c r="C21"/>
  <c r="C20"/>
  <c r="C19"/>
  <c r="C18"/>
  <c r="C17"/>
  <c r="C16"/>
  <c r="C15"/>
  <c r="C14"/>
  <c r="C13"/>
  <c r="C11"/>
  <c r="C10"/>
  <c r="C9"/>
  <c r="C8"/>
  <c r="C7"/>
  <c r="C6"/>
  <c r="B22" i="3"/>
  <c r="C24"/>
  <c r="C23"/>
  <c r="C22"/>
  <c r="B24"/>
  <c r="B23"/>
  <c r="G9" i="9"/>
  <c r="G3"/>
  <c r="B9"/>
  <c r="B3"/>
  <c r="L12"/>
  <c r="O12" s="1"/>
  <c r="O9" s="1"/>
  <c r="O3" s="1"/>
  <c r="O11"/>
  <c r="O10"/>
  <c r="O4"/>
  <c r="L4"/>
  <c r="G12"/>
  <c r="J12" s="1"/>
  <c r="J9" s="1"/>
  <c r="J11"/>
  <c r="J10"/>
  <c r="J4"/>
  <c r="G4"/>
  <c r="C18"/>
  <c r="C20"/>
  <c r="C19"/>
  <c r="B34" i="8"/>
  <c r="B4"/>
  <c r="B5"/>
  <c r="B6"/>
  <c r="C6" s="1"/>
  <c r="C7"/>
  <c r="C8"/>
  <c r="B9"/>
  <c r="C9" s="1"/>
  <c r="B10"/>
  <c r="C10" s="1"/>
  <c r="B11"/>
  <c r="C11" s="1"/>
  <c r="B13"/>
  <c r="B15"/>
  <c r="C15" s="1"/>
  <c r="B16"/>
  <c r="C16" s="1"/>
  <c r="B17"/>
  <c r="C17" s="1"/>
  <c r="C18"/>
  <c r="C19"/>
  <c r="B20"/>
  <c r="C20" s="1"/>
  <c r="B21"/>
  <c r="C21" s="1"/>
  <c r="D21"/>
  <c r="B22"/>
  <c r="D22"/>
  <c r="B24" s="1"/>
  <c r="B26"/>
  <c r="B27"/>
  <c r="B28"/>
  <c r="C28" s="1"/>
  <c r="C29"/>
  <c r="C30"/>
  <c r="B31"/>
  <c r="C31" s="1"/>
  <c r="B32"/>
  <c r="B33"/>
  <c r="Q31" i="9"/>
  <c r="Q28" s="1"/>
  <c r="Q3" s="1"/>
  <c r="Q29"/>
  <c r="T28"/>
  <c r="T21"/>
  <c r="Q21"/>
  <c r="Q11"/>
  <c r="Q10"/>
  <c r="T9"/>
  <c r="T3" s="1"/>
  <c r="Q9"/>
  <c r="T4"/>
  <c r="Q4"/>
  <c r="E9"/>
  <c r="E11"/>
  <c r="E10"/>
  <c r="E12"/>
  <c r="B12"/>
  <c r="K5" i="7"/>
  <c r="L5" s="1"/>
  <c r="D26" i="8" s="1"/>
  <c r="J6" i="4" s="1"/>
  <c r="K4" i="7"/>
  <c r="L4" s="1"/>
  <c r="K3"/>
  <c r="L3" s="1"/>
  <c r="G35"/>
  <c r="F35"/>
  <c r="D19"/>
  <c r="G19"/>
  <c r="F19"/>
  <c r="G3"/>
  <c r="F3"/>
  <c r="E5" i="4"/>
  <c r="E7"/>
  <c r="B17"/>
  <c r="B13"/>
  <c r="B9"/>
  <c r="B6"/>
  <c r="E6"/>
  <c r="E42" i="7"/>
  <c r="E35" s="1"/>
  <c r="D39"/>
  <c r="E26"/>
  <c r="E23"/>
  <c r="E22"/>
  <c r="E19" s="1"/>
  <c r="D38"/>
  <c r="D23"/>
  <c r="D22"/>
  <c r="E10"/>
  <c r="E7"/>
  <c r="E3" s="1"/>
  <c r="D7"/>
  <c r="D6"/>
  <c r="D3" s="1"/>
  <c r="B25" i="12"/>
  <c r="E11"/>
  <c r="E14"/>
  <c r="E13"/>
  <c r="E12"/>
  <c r="E10"/>
  <c r="E8"/>
  <c r="E7"/>
  <c r="E6"/>
  <c r="E4" i="9"/>
  <c r="B4"/>
  <c r="D21" i="12"/>
  <c r="C21"/>
  <c r="B21"/>
  <c r="D14"/>
  <c r="C14"/>
  <c r="B14"/>
  <c r="B13"/>
  <c r="B12"/>
  <c r="D7"/>
  <c r="C7"/>
  <c r="B7"/>
  <c r="B6"/>
  <c r="B5"/>
  <c r="C19" i="5"/>
  <c r="B19"/>
  <c r="B12"/>
  <c r="B54" i="4"/>
  <c r="B53"/>
  <c r="H51"/>
  <c r="E51"/>
  <c r="B51"/>
  <c r="H48"/>
  <c r="E48"/>
  <c r="B48"/>
  <c r="H47"/>
  <c r="E47"/>
  <c r="H46"/>
  <c r="E46"/>
  <c r="B46"/>
  <c r="E44"/>
  <c r="B44"/>
  <c r="B43"/>
  <c r="H37"/>
  <c r="E37"/>
  <c r="B37"/>
  <c r="H36"/>
  <c r="E36"/>
  <c r="B36"/>
  <c r="H34"/>
  <c r="E34"/>
  <c r="B34"/>
  <c r="H32"/>
  <c r="E32"/>
  <c r="B32"/>
  <c r="H27"/>
  <c r="E27"/>
  <c r="B27"/>
  <c r="H24"/>
  <c r="E24"/>
  <c r="E21"/>
  <c r="H13"/>
  <c r="H12"/>
  <c r="E12"/>
  <c r="B12"/>
  <c r="H9"/>
  <c r="E9"/>
  <c r="H8"/>
  <c r="H7"/>
  <c r="H6"/>
  <c r="H5"/>
  <c r="B5"/>
  <c r="D19" i="3"/>
  <c r="C19"/>
  <c r="B19"/>
  <c r="D18"/>
  <c r="C18"/>
  <c r="C15"/>
  <c r="B15"/>
  <c r="D14"/>
  <c r="C14"/>
  <c r="B14"/>
  <c r="D13"/>
  <c r="D12" s="1"/>
  <c r="D11" s="1"/>
  <c r="D23" s="1"/>
  <c r="C13"/>
  <c r="B13"/>
  <c r="C12"/>
  <c r="B12"/>
  <c r="C11"/>
  <c r="B11"/>
  <c r="D6"/>
  <c r="C6"/>
  <c r="D5"/>
  <c r="C5"/>
  <c r="B5"/>
  <c r="D33" i="2"/>
  <c r="C33"/>
  <c r="B33"/>
  <c r="D32"/>
  <c r="C32"/>
  <c r="B32"/>
  <c r="D31"/>
  <c r="C31"/>
  <c r="B31"/>
  <c r="D29"/>
  <c r="C29"/>
  <c r="B29"/>
  <c r="D27"/>
  <c r="C27"/>
  <c r="D24"/>
  <c r="C24"/>
  <c r="B24"/>
  <c r="D23"/>
  <c r="C23"/>
  <c r="D22"/>
  <c r="C22"/>
  <c r="D21"/>
  <c r="C21"/>
  <c r="D18"/>
  <c r="C18"/>
  <c r="D17"/>
  <c r="C17"/>
  <c r="D16"/>
  <c r="C16"/>
  <c r="B16"/>
  <c r="D15"/>
  <c r="C15"/>
  <c r="B15"/>
  <c r="D14"/>
  <c r="C14"/>
  <c r="B14"/>
  <c r="D11"/>
  <c r="C11"/>
  <c r="D10"/>
  <c r="C10"/>
  <c r="D9"/>
  <c r="C9"/>
  <c r="B9"/>
  <c r="D7"/>
  <c r="C7"/>
  <c r="D6"/>
  <c r="C6"/>
  <c r="D5"/>
  <c r="C5"/>
  <c r="B5"/>
  <c r="I6" i="4" l="1"/>
  <c r="J5"/>
  <c r="I5" s="1"/>
  <c r="C18" i="5"/>
  <c r="C14" s="1"/>
  <c r="C22" s="1"/>
  <c r="C23" s="1"/>
  <c r="F44" i="4"/>
  <c r="M18" i="9"/>
  <c r="J44" i="4" s="1"/>
  <c r="D18" i="5" s="1"/>
  <c r="M20" i="9"/>
  <c r="G55" i="4"/>
  <c r="F55" s="1"/>
  <c r="F12"/>
  <c r="C12"/>
  <c r="D33" i="8"/>
  <c r="D32"/>
  <c r="C33"/>
  <c r="C26"/>
  <c r="C15" i="5"/>
  <c r="F5" i="4"/>
  <c r="D15" i="5"/>
  <c r="D55" i="4"/>
  <c r="D12" i="8"/>
  <c r="I44" i="4"/>
  <c r="H19" i="9"/>
  <c r="H20"/>
  <c r="C44" i="4"/>
  <c r="C55" s="1"/>
  <c r="E55"/>
  <c r="L9" i="9"/>
  <c r="L3" s="1"/>
  <c r="D23" i="8"/>
  <c r="B12"/>
  <c r="C22"/>
  <c r="C23" s="1"/>
  <c r="B23"/>
  <c r="C5"/>
  <c r="C12" s="1"/>
  <c r="B55" i="4"/>
  <c r="B14" i="5"/>
  <c r="B22" s="1"/>
  <c r="B23" s="1"/>
  <c r="B24" s="1"/>
  <c r="C34" i="8" l="1"/>
  <c r="D34"/>
  <c r="J31" i="4"/>
  <c r="I31" s="1"/>
  <c r="B35" i="8"/>
  <c r="J30" i="4"/>
  <c r="C32" i="8"/>
  <c r="C25" i="5"/>
  <c r="C24"/>
  <c r="B25"/>
  <c r="I30" i="4" l="1"/>
  <c r="J12"/>
  <c r="D16" i="5" l="1"/>
  <c r="D14" s="1"/>
  <c r="D22" s="1"/>
  <c r="D23" s="1"/>
  <c r="I12" i="4"/>
  <c r="J55"/>
  <c r="I55" s="1"/>
  <c r="D25" i="5" l="1"/>
  <c r="B27" s="1"/>
  <c r="D24"/>
  <c r="B26" s="1"/>
</calcChain>
</file>

<file path=xl/comments1.xml><?xml version="1.0" encoding="utf-8"?>
<comments xmlns="http://schemas.openxmlformats.org/spreadsheetml/2006/main">
  <authors>
    <author>Administrator</author>
  </authors>
  <commentList>
    <comment ref="A29" authorId="0">
      <text>
        <r>
          <rPr>
            <b/>
            <sz val="9"/>
            <rFont val="宋体"/>
            <family val="3"/>
            <charset val="134"/>
          </rPr>
          <t>Administrator:</t>
        </r>
        <r>
          <rPr>
            <sz val="9"/>
            <rFont val="宋体"/>
            <family val="3"/>
            <charset val="134"/>
          </rPr>
          <t xml:space="preserve">
净值</t>
        </r>
      </text>
    </comment>
  </commentList>
</comments>
</file>

<file path=xl/comments2.xml><?xml version="1.0" encoding="utf-8"?>
<comments xmlns="http://schemas.openxmlformats.org/spreadsheetml/2006/main">
  <authors>
    <author>Administrator</author>
  </authors>
  <commentList>
    <comment ref="A15" authorId="0">
      <text>
        <r>
          <rPr>
            <b/>
            <sz val="9"/>
            <rFont val="宋体"/>
            <family val="3"/>
            <charset val="134"/>
          </rPr>
          <t>Administrator:</t>
        </r>
        <r>
          <rPr>
            <sz val="9"/>
            <rFont val="宋体"/>
            <family val="3"/>
            <charset val="134"/>
          </rPr>
          <t xml:space="preserve">
长郡合作办学经费</t>
        </r>
      </text>
    </comment>
    <comment ref="A44" authorId="0">
      <text>
        <r>
          <rPr>
            <b/>
            <sz val="9"/>
            <rFont val="宋体"/>
            <family val="3"/>
            <charset val="134"/>
          </rPr>
          <t>Administrator:</t>
        </r>
        <r>
          <rPr>
            <sz val="9"/>
            <rFont val="宋体"/>
            <family val="3"/>
            <charset val="134"/>
          </rPr>
          <t xml:space="preserve">
本年度折旧数</t>
        </r>
      </text>
    </comment>
  </commentList>
</comments>
</file>

<file path=xl/sharedStrings.xml><?xml version="1.0" encoding="utf-8"?>
<sst xmlns="http://schemas.openxmlformats.org/spreadsheetml/2006/main" count="453" uniqueCount="304">
  <si>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</si>
  <si>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</si>
  <si>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</si>
  <si>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t>祁阳市郡祁学校</t>
  </si>
  <si>
    <r>
      <rPr>
        <sz val="16"/>
        <rFont val="宋体"/>
        <family val="3"/>
        <charset val="134"/>
      </rPr>
      <t>法人代表</t>
    </r>
    <r>
      <rPr>
        <sz val="16"/>
        <rFont val="Times New Roman"/>
        <family val="1"/>
      </rPr>
      <t xml:space="preserve">  </t>
    </r>
  </si>
  <si>
    <t>周铁明</t>
  </si>
  <si>
    <r>
      <rPr>
        <sz val="16"/>
        <rFont val="宋体"/>
        <family val="3"/>
        <charset val="134"/>
      </rPr>
      <t>财务负责人</t>
    </r>
  </si>
  <si>
    <t>何哲军</t>
  </si>
  <si>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</si>
  <si>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t>李欣</t>
  </si>
  <si>
    <r>
      <rPr>
        <sz val="16"/>
        <rFont val="宋体"/>
        <family val="3"/>
        <charset val="134"/>
      </rPr>
      <t>学校地址</t>
    </r>
  </si>
  <si>
    <t>祁阳市长虹街道栖霞路及人民西路交汇处</t>
  </si>
  <si>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</si>
  <si>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</si>
  <si>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t>0746-3226677</t>
  </si>
  <si>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</si>
  <si>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</si>
  <si>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</si>
  <si>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</si>
  <si>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</si>
  <si>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</si>
  <si>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</si>
  <si>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</si>
  <si>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</si>
  <si>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</si>
  <si>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</si>
  <si>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</si>
  <si>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rgb="FF000000"/>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</si>
  <si>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</si>
  <si>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rgb="FF000000"/>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</si>
  <si>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</si>
  <si>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</si>
  <si>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</si>
  <si>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</si>
  <si>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</si>
  <si>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</si>
  <si>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</si>
  <si>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</si>
  <si>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</si>
  <si>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</si>
  <si>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</si>
  <si>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</si>
  <si>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</si>
  <si>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</si>
  <si>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</si>
  <si>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</si>
  <si>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</si>
  <si>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</si>
  <si>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</si>
  <si>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</si>
  <si>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</si>
  <si>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</si>
  <si>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rgb="FF000000"/>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</si>
  <si>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</si>
  <si>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</si>
  <si>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</si>
  <si>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</si>
  <si>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</si>
  <si>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</si>
  <si>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</si>
  <si>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</si>
  <si>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</si>
  <si>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</si>
  <si>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</si>
  <si>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</si>
  <si>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</si>
  <si>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</si>
  <si>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</si>
  <si>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</si>
  <si>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</si>
  <si>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</si>
  <si>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</si>
  <si>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</si>
  <si>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</si>
  <si>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</si>
  <si>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r>
      <rPr>
        <sz val="16"/>
        <rFont val="黑体"/>
        <family val="3"/>
        <charset val="134"/>
      </rPr>
      <t>表</t>
    </r>
    <r>
      <rPr>
        <sz val="16"/>
        <rFont val="Times New Roman"/>
        <family val="1"/>
      </rPr>
      <t>3</t>
    </r>
  </si>
  <si>
    <t>单位：元</t>
  </si>
  <si>
    <r>
      <rPr>
        <b/>
        <sz val="12"/>
        <rFont val="宋体"/>
        <family val="3"/>
        <charset val="134"/>
      </rPr>
      <t>项</t>
    </r>
    <r>
      <rPr>
        <b/>
        <sz val="12"/>
        <rFont val="Times New Roman"/>
        <family val="1"/>
      </rPr>
      <t xml:space="preserve">  </t>
    </r>
    <r>
      <rPr>
        <b/>
        <sz val="12"/>
        <rFont val="宋体"/>
        <family val="3"/>
        <charset val="134"/>
      </rPr>
      <t>目</t>
    </r>
  </si>
  <si>
    <r>
      <rPr>
        <b/>
        <sz val="12"/>
        <rFont val="Times New Roman"/>
        <family val="1"/>
      </rPr>
      <t>2019</t>
    </r>
    <r>
      <rPr>
        <b/>
        <sz val="12"/>
        <rFont val="宋体"/>
        <family val="3"/>
        <charset val="134"/>
      </rPr>
      <t>年上报数</t>
    </r>
  </si>
  <si>
    <t>核增（减）</t>
  </si>
  <si>
    <r>
      <rPr>
        <b/>
        <sz val="12"/>
        <color rgb="FFFF0000"/>
        <rFont val="Times New Roman"/>
        <family val="1"/>
      </rPr>
      <t>2019</t>
    </r>
    <r>
      <rPr>
        <b/>
        <sz val="12"/>
        <color rgb="FFFF0000"/>
        <rFont val="宋体"/>
        <family val="3"/>
        <charset val="134"/>
      </rPr>
      <t>年核定数</t>
    </r>
  </si>
  <si>
    <r>
      <rPr>
        <b/>
        <sz val="12"/>
        <rFont val="Times New Roman"/>
        <family val="1"/>
      </rPr>
      <t>2020</t>
    </r>
    <r>
      <rPr>
        <b/>
        <sz val="12"/>
        <rFont val="宋体"/>
        <family val="3"/>
        <charset val="134"/>
      </rPr>
      <t>年上报数</t>
    </r>
  </si>
  <si>
    <r>
      <rPr>
        <b/>
        <sz val="12"/>
        <color rgb="FFFF0000"/>
        <rFont val="Times New Roman"/>
        <family val="1"/>
      </rPr>
      <t>2020</t>
    </r>
    <r>
      <rPr>
        <b/>
        <sz val="12"/>
        <color rgb="FFFF0000"/>
        <rFont val="宋体"/>
        <family val="3"/>
        <charset val="134"/>
      </rPr>
      <t>年核定数</t>
    </r>
  </si>
  <si>
    <r>
      <rPr>
        <b/>
        <sz val="12"/>
        <rFont val="Times New Roman"/>
        <family val="1"/>
      </rPr>
      <t>2021</t>
    </r>
    <r>
      <rPr>
        <b/>
        <sz val="12"/>
        <rFont val="宋体"/>
        <family val="3"/>
        <charset val="134"/>
      </rPr>
      <t>年上报数</t>
    </r>
  </si>
  <si>
    <r>
      <rPr>
        <b/>
        <sz val="12"/>
        <color rgb="FFFF0000"/>
        <rFont val="Times New Roman"/>
        <family val="1"/>
      </rPr>
      <t>2021</t>
    </r>
    <r>
      <rPr>
        <b/>
        <sz val="12"/>
        <color rgb="FFFF0000"/>
        <rFont val="宋体"/>
        <family val="3"/>
        <charset val="134"/>
      </rPr>
      <t>年核定数</t>
    </r>
  </si>
  <si>
    <r>
      <rPr>
        <b/>
        <sz val="12"/>
        <rFont val="宋体"/>
        <family val="3"/>
        <charset val="134"/>
      </rPr>
      <t>一、工资福利支出</t>
    </r>
  </si>
  <si>
    <r>
      <rPr>
        <sz val="12"/>
        <rFont val="Times New Roman"/>
        <family val="1"/>
      </rPr>
      <t xml:space="preserve">  3.</t>
    </r>
    <r>
      <rPr>
        <sz val="12"/>
        <rFont val="宋体"/>
        <family val="3"/>
        <charset val="134"/>
      </rPr>
      <t>奖金</t>
    </r>
  </si>
  <si>
    <r>
      <rPr>
        <sz val="12"/>
        <rFont val="Times New Roman"/>
        <family val="1"/>
      </rPr>
      <t xml:space="preserve">  4.</t>
    </r>
    <r>
      <rPr>
        <sz val="12"/>
        <rFont val="宋体"/>
        <family val="3"/>
        <charset val="134"/>
      </rPr>
      <t>社会保险费</t>
    </r>
  </si>
  <si>
    <r>
      <rPr>
        <sz val="12"/>
        <rFont val="Times New Roman"/>
        <family val="1"/>
      </rPr>
      <t xml:space="preserve">  5.</t>
    </r>
    <r>
      <rPr>
        <sz val="12"/>
        <rFont val="宋体"/>
        <family val="3"/>
        <charset val="134"/>
      </rPr>
      <t>住房公积金</t>
    </r>
  </si>
  <si>
    <r>
      <rPr>
        <sz val="12"/>
        <rFont val="Times New Roman"/>
        <family val="1"/>
      </rPr>
      <t xml:space="preserve">  6.</t>
    </r>
    <r>
      <rPr>
        <sz val="12"/>
        <rFont val="宋体"/>
        <family val="3"/>
        <charset val="134"/>
      </rPr>
      <t>其他</t>
    </r>
  </si>
  <si>
    <r>
      <rPr>
        <b/>
        <sz val="12"/>
        <rFont val="宋体"/>
        <family val="3"/>
        <charset val="134"/>
      </rPr>
      <t>二、商品和服务支出</t>
    </r>
  </si>
  <si>
    <r>
      <rPr>
        <sz val="12"/>
        <color indexed="8"/>
        <rFont val="Times New Roman"/>
        <family val="1"/>
      </rPr>
      <t xml:space="preserve">    1.</t>
    </r>
    <r>
      <rPr>
        <sz val="12"/>
        <color indexed="8"/>
        <rFont val="宋体"/>
        <family val="3"/>
        <charset val="134"/>
      </rPr>
      <t>办公费</t>
    </r>
  </si>
  <si>
    <r>
      <rPr>
        <sz val="12"/>
        <color indexed="8"/>
        <rFont val="Times New Roman"/>
        <family val="1"/>
      </rPr>
      <t xml:space="preserve">    2.</t>
    </r>
    <r>
      <rPr>
        <sz val="12"/>
        <color indexed="8"/>
        <rFont val="宋体"/>
        <family val="3"/>
        <charset val="134"/>
      </rPr>
      <t>印刷费</t>
    </r>
  </si>
  <si>
    <r>
      <rPr>
        <sz val="12"/>
        <color indexed="8"/>
        <rFont val="Times New Roman"/>
        <family val="1"/>
      </rPr>
      <t xml:space="preserve">    3.</t>
    </r>
    <r>
      <rPr>
        <sz val="12"/>
        <color indexed="8"/>
        <rFont val="宋体"/>
        <family val="3"/>
        <charset val="134"/>
      </rPr>
      <t>咨询费</t>
    </r>
  </si>
  <si>
    <r>
      <rPr>
        <sz val="12"/>
        <color indexed="8"/>
        <rFont val="Times New Roman"/>
        <family val="1"/>
      </rPr>
      <t xml:space="preserve">    4.</t>
    </r>
    <r>
      <rPr>
        <sz val="12"/>
        <color indexed="8"/>
        <rFont val="宋体"/>
        <family val="3"/>
        <charset val="134"/>
      </rPr>
      <t>手续费</t>
    </r>
  </si>
  <si>
    <r>
      <rPr>
        <sz val="12"/>
        <color indexed="8"/>
        <rFont val="Times New Roman"/>
        <family val="1"/>
      </rPr>
      <t xml:space="preserve">    5.</t>
    </r>
    <r>
      <rPr>
        <sz val="12"/>
        <color indexed="8"/>
        <rFont val="宋体"/>
        <family val="3"/>
        <charset val="134"/>
      </rPr>
      <t>水费</t>
    </r>
  </si>
  <si>
    <r>
      <rPr>
        <sz val="12"/>
        <color indexed="8"/>
        <rFont val="Times New Roman"/>
        <family val="1"/>
      </rPr>
      <t xml:space="preserve">    6.</t>
    </r>
    <r>
      <rPr>
        <sz val="12"/>
        <color indexed="8"/>
        <rFont val="宋体"/>
        <family val="3"/>
        <charset val="134"/>
      </rPr>
      <t>电费</t>
    </r>
  </si>
  <si>
    <r>
      <rPr>
        <sz val="12"/>
        <color indexed="8"/>
        <rFont val="Times New Roman"/>
        <family val="1"/>
      </rPr>
      <t xml:space="preserve">    7.</t>
    </r>
    <r>
      <rPr>
        <sz val="12"/>
        <color indexed="8"/>
        <rFont val="宋体"/>
        <family val="3"/>
        <charset val="134"/>
      </rPr>
      <t>邮电费</t>
    </r>
  </si>
  <si>
    <r>
      <rPr>
        <sz val="12"/>
        <color indexed="8"/>
        <rFont val="Times New Roman"/>
        <family val="1"/>
      </rPr>
      <t xml:space="preserve">    9.</t>
    </r>
    <r>
      <rPr>
        <sz val="12"/>
        <color indexed="8"/>
        <rFont val="宋体"/>
        <family val="3"/>
        <charset val="134"/>
      </rPr>
      <t>差旅费</t>
    </r>
  </si>
  <si>
    <r>
      <rPr>
        <sz val="12"/>
        <color indexed="8"/>
        <rFont val="Times New Roman"/>
        <family val="1"/>
      </rPr>
      <t xml:space="preserve">    11.</t>
    </r>
    <r>
      <rPr>
        <sz val="12"/>
        <color indexed="8"/>
        <rFont val="宋体"/>
        <family val="3"/>
        <charset val="134"/>
      </rPr>
      <t>维修（护）费</t>
    </r>
  </si>
  <si>
    <r>
      <rPr>
        <sz val="12"/>
        <color indexed="8"/>
        <rFont val="Times New Roman"/>
        <family val="1"/>
      </rPr>
      <t xml:space="preserve">    12.</t>
    </r>
    <r>
      <rPr>
        <sz val="12"/>
        <color indexed="8"/>
        <rFont val="宋体"/>
        <family val="3"/>
        <charset val="134"/>
      </rPr>
      <t>租赁费</t>
    </r>
  </si>
  <si>
    <r>
      <rPr>
        <sz val="12"/>
        <color indexed="8"/>
        <rFont val="Times New Roman"/>
        <family val="1"/>
      </rPr>
      <t xml:space="preserve">    13.</t>
    </r>
    <r>
      <rPr>
        <sz val="12"/>
        <color indexed="8"/>
        <rFont val="宋体"/>
        <family val="3"/>
        <charset val="134"/>
      </rPr>
      <t>会议费</t>
    </r>
  </si>
  <si>
    <r>
      <rPr>
        <sz val="12"/>
        <color indexed="8"/>
        <rFont val="Times New Roman"/>
        <family val="1"/>
      </rPr>
      <t xml:space="preserve">    14.</t>
    </r>
    <r>
      <rPr>
        <sz val="12"/>
        <color indexed="8"/>
        <rFont val="宋体"/>
        <family val="3"/>
        <charset val="134"/>
      </rPr>
      <t>培训费</t>
    </r>
  </si>
  <si>
    <r>
      <rPr>
        <sz val="12"/>
        <color indexed="8"/>
        <rFont val="Times New Roman"/>
        <family val="1"/>
      </rPr>
      <t xml:space="preserve">    15.</t>
    </r>
    <r>
      <rPr>
        <sz val="12"/>
        <color indexed="8"/>
        <rFont val="宋体"/>
        <family val="3"/>
        <charset val="134"/>
      </rPr>
      <t>公务接待费</t>
    </r>
  </si>
  <si>
    <r>
      <rPr>
        <sz val="12"/>
        <color indexed="8"/>
        <rFont val="Times New Roman"/>
        <family val="1"/>
      </rPr>
      <t xml:space="preserve">    16.</t>
    </r>
    <r>
      <rPr>
        <sz val="12"/>
        <color indexed="8"/>
        <rFont val="宋体"/>
        <family val="3"/>
        <charset val="134"/>
      </rPr>
      <t>专用材料费</t>
    </r>
  </si>
  <si>
    <r>
      <rPr>
        <sz val="12"/>
        <color indexed="8"/>
        <rFont val="Times New Roman"/>
        <family val="1"/>
      </rPr>
      <t xml:space="preserve">    17.</t>
    </r>
    <r>
      <rPr>
        <sz val="12"/>
        <color indexed="8"/>
        <rFont val="宋体"/>
        <family val="3"/>
        <charset val="134"/>
      </rPr>
      <t>劳务费</t>
    </r>
  </si>
  <si>
    <r>
      <rPr>
        <sz val="12"/>
        <color indexed="8"/>
        <rFont val="Times New Roman"/>
        <family val="1"/>
      </rPr>
      <t xml:space="preserve">    19.</t>
    </r>
    <r>
      <rPr>
        <sz val="12"/>
        <color indexed="8"/>
        <rFont val="宋体"/>
        <family val="3"/>
        <charset val="134"/>
      </rPr>
      <t>工会经费</t>
    </r>
  </si>
  <si>
    <r>
      <rPr>
        <sz val="12"/>
        <color indexed="8"/>
        <rFont val="Times New Roman"/>
        <family val="1"/>
      </rPr>
      <t xml:space="preserve">    20.</t>
    </r>
    <r>
      <rPr>
        <sz val="12"/>
        <color indexed="8"/>
        <rFont val="宋体"/>
        <family val="3"/>
        <charset val="134"/>
      </rPr>
      <t>福利费</t>
    </r>
  </si>
  <si>
    <r>
      <rPr>
        <sz val="12"/>
        <color indexed="8"/>
        <rFont val="Times New Roman"/>
        <family val="1"/>
      </rPr>
      <t xml:space="preserve">    21.</t>
    </r>
    <r>
      <rPr>
        <sz val="12"/>
        <color indexed="8"/>
        <rFont val="宋体"/>
        <family val="3"/>
        <charset val="134"/>
      </rPr>
      <t>车辆运行维护费</t>
    </r>
  </si>
  <si>
    <r>
      <rPr>
        <sz val="12"/>
        <color indexed="8"/>
        <rFont val="Times New Roman"/>
        <family val="1"/>
      </rPr>
      <t xml:space="preserve">    22.</t>
    </r>
    <r>
      <rPr>
        <sz val="12"/>
        <color indexed="8"/>
        <rFont val="宋体"/>
        <family val="3"/>
        <charset val="134"/>
      </rPr>
      <t>其他交通费用</t>
    </r>
  </si>
  <si>
    <r>
      <rPr>
        <sz val="12"/>
        <color indexed="8"/>
        <rFont val="Times New Roman"/>
        <family val="1"/>
      </rPr>
      <t xml:space="preserve">    23.</t>
    </r>
    <r>
      <rPr>
        <sz val="12"/>
        <color indexed="8"/>
        <rFont val="宋体"/>
        <family val="3"/>
        <charset val="134"/>
      </rPr>
      <t>税金及附加费用</t>
    </r>
  </si>
  <si>
    <r>
      <rPr>
        <sz val="12"/>
        <color indexed="8"/>
        <rFont val="Times New Roman"/>
        <family val="1"/>
      </rPr>
      <t xml:space="preserve">    24.</t>
    </r>
    <r>
      <rPr>
        <sz val="12"/>
        <color indexed="8"/>
        <rFont val="宋体"/>
        <family val="3"/>
        <charset val="134"/>
      </rPr>
      <t>其他商品和服务支出</t>
    </r>
  </si>
  <si>
    <r>
      <rPr>
        <b/>
        <sz val="12"/>
        <color indexed="8"/>
        <rFont val="宋体"/>
        <family val="3"/>
        <charset val="134"/>
      </rPr>
      <t>三、对个人和家庭的补助</t>
    </r>
  </si>
  <si>
    <r>
      <rPr>
        <sz val="12"/>
        <color indexed="8"/>
        <rFont val="Times New Roman"/>
        <family val="1"/>
      </rPr>
      <t xml:space="preserve">    1.</t>
    </r>
    <r>
      <rPr>
        <sz val="12"/>
        <color indexed="8"/>
        <rFont val="宋体"/>
        <family val="3"/>
        <charset val="134"/>
      </rPr>
      <t>离休费</t>
    </r>
  </si>
  <si>
    <r>
      <rPr>
        <sz val="12"/>
        <color indexed="8"/>
        <rFont val="Times New Roman"/>
        <family val="1"/>
      </rPr>
      <t xml:space="preserve">    2.</t>
    </r>
    <r>
      <rPr>
        <sz val="12"/>
        <color indexed="8"/>
        <rFont val="宋体"/>
        <family val="3"/>
        <charset val="134"/>
      </rPr>
      <t>抚恤金</t>
    </r>
  </si>
  <si>
    <r>
      <rPr>
        <sz val="12"/>
        <color indexed="8"/>
        <rFont val="Times New Roman"/>
        <family val="1"/>
      </rPr>
      <t xml:space="preserve">    3.</t>
    </r>
    <r>
      <rPr>
        <sz val="12"/>
        <color indexed="8"/>
        <rFont val="宋体"/>
        <family val="3"/>
        <charset val="134"/>
      </rPr>
      <t>生活补助</t>
    </r>
  </si>
  <si>
    <r>
      <rPr>
        <sz val="12"/>
        <color indexed="8"/>
        <rFont val="Times New Roman"/>
        <family val="1"/>
      </rPr>
      <t xml:space="preserve">    4.</t>
    </r>
    <r>
      <rPr>
        <sz val="12"/>
        <color indexed="8"/>
        <rFont val="宋体"/>
        <family val="3"/>
        <charset val="134"/>
      </rPr>
      <t>医疗费补助</t>
    </r>
  </si>
  <si>
    <r>
      <rPr>
        <sz val="12"/>
        <color indexed="8"/>
        <rFont val="Times New Roman"/>
        <family val="1"/>
      </rPr>
      <t xml:space="preserve">    5.</t>
    </r>
    <r>
      <rPr>
        <sz val="12"/>
        <color indexed="8"/>
        <rFont val="宋体"/>
        <family val="3"/>
        <charset val="134"/>
      </rPr>
      <t>助学金</t>
    </r>
  </si>
  <si>
    <r>
      <rPr>
        <sz val="12"/>
        <color indexed="8"/>
        <rFont val="Times New Roman"/>
        <family val="1"/>
      </rPr>
      <t xml:space="preserve">    6.</t>
    </r>
    <r>
      <rPr>
        <sz val="12"/>
        <color indexed="8"/>
        <rFont val="宋体"/>
        <family val="3"/>
        <charset val="134"/>
      </rPr>
      <t>其他对个人和家庭的补助支出</t>
    </r>
  </si>
  <si>
    <r>
      <rPr>
        <b/>
        <sz val="12"/>
        <rFont val="宋体"/>
        <family val="3"/>
        <charset val="134"/>
      </rPr>
      <t>四、固定资产折旧（元）</t>
    </r>
  </si>
  <si>
    <r>
      <rPr>
        <sz val="12"/>
        <color indexed="8"/>
        <rFont val="Times New Roman"/>
        <family val="1"/>
      </rPr>
      <t xml:space="preserve">    5.</t>
    </r>
    <r>
      <rPr>
        <sz val="12"/>
        <color indexed="8"/>
        <rFont val="宋体"/>
        <family val="3"/>
        <charset val="134"/>
      </rPr>
      <t>其他固定资产</t>
    </r>
  </si>
  <si>
    <r>
      <rPr>
        <b/>
        <sz val="12"/>
        <rFont val="宋体"/>
        <family val="3"/>
        <charset val="134"/>
      </rPr>
      <t>五、无形资产摊销</t>
    </r>
  </si>
  <si>
    <r>
      <rPr>
        <b/>
        <sz val="12"/>
        <rFont val="宋体"/>
        <family val="3"/>
        <charset val="134"/>
      </rPr>
      <t>六、财务费用</t>
    </r>
  </si>
  <si>
    <r>
      <rPr>
        <sz val="12"/>
        <rFont val="Times New Roman"/>
        <family val="1"/>
      </rPr>
      <t xml:space="preserve">    1.</t>
    </r>
    <r>
      <rPr>
        <sz val="12"/>
        <rFont val="宋体"/>
        <family val="3"/>
        <charset val="134"/>
      </rPr>
      <t>利息支出</t>
    </r>
  </si>
  <si>
    <r>
      <rPr>
        <sz val="12"/>
        <rFont val="Times New Roman"/>
        <family val="1"/>
      </rPr>
      <t xml:space="preserve">    2.</t>
    </r>
    <r>
      <rPr>
        <sz val="12"/>
        <rFont val="宋体"/>
        <family val="3"/>
        <charset val="134"/>
      </rPr>
      <t>利息收入</t>
    </r>
  </si>
  <si>
    <r>
      <rPr>
        <sz val="12"/>
        <rFont val="Times New Roman"/>
        <family val="1"/>
      </rPr>
      <t xml:space="preserve">    3.</t>
    </r>
    <r>
      <rPr>
        <sz val="12"/>
        <rFont val="宋体"/>
        <family val="3"/>
        <charset val="134"/>
      </rPr>
      <t>手续费</t>
    </r>
  </si>
  <si>
    <r>
      <rPr>
        <b/>
        <sz val="12"/>
        <rFont val="宋体"/>
        <family val="3"/>
        <charset val="134"/>
      </rPr>
      <t>七、学校总支出</t>
    </r>
  </si>
  <si>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</si>
  <si>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</si>
  <si>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</si>
  <si>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</si>
  <si>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</si>
  <si>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</si>
  <si>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</si>
  <si>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</si>
  <si>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</si>
  <si>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</si>
  <si>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</si>
  <si>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</si>
  <si>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</si>
  <si>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</si>
  <si>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</si>
  <si>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</si>
  <si>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</si>
  <si>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</si>
  <si>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</si>
  <si>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</si>
  <si>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</si>
  <si>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</si>
  <si>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</si>
  <si>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</si>
  <si>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</si>
  <si>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</si>
  <si>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</si>
  <si>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t>核定数</t>
  </si>
  <si>
    <t>小学部</t>
  </si>
  <si>
    <r>
      <rPr>
        <sz val="12"/>
        <rFont val="Times New Roman"/>
        <family val="1"/>
      </rPr>
      <t>2019</t>
    </r>
    <r>
      <rPr>
        <sz val="12"/>
        <rFont val="宋体"/>
        <family val="3"/>
        <charset val="134"/>
      </rPr>
      <t>年</t>
    </r>
  </si>
  <si>
    <r>
      <rPr>
        <sz val="12"/>
        <rFont val="Times New Roman"/>
        <family val="1"/>
      </rPr>
      <t>2020</t>
    </r>
    <r>
      <rPr>
        <sz val="12"/>
        <rFont val="宋体"/>
        <family val="3"/>
        <charset val="134"/>
      </rPr>
      <t>年</t>
    </r>
  </si>
  <si>
    <r>
      <rPr>
        <sz val="12"/>
        <rFont val="Times New Roman"/>
        <family val="1"/>
      </rPr>
      <t>2021</t>
    </r>
    <r>
      <rPr>
        <sz val="12"/>
        <rFont val="宋体"/>
        <family val="3"/>
        <charset val="134"/>
      </rPr>
      <t>年</t>
    </r>
  </si>
  <si>
    <r>
      <rPr>
        <sz val="12"/>
        <rFont val="宋体"/>
        <family val="3"/>
        <charset val="134"/>
      </rPr>
      <t>小计</t>
    </r>
  </si>
  <si>
    <r>
      <rPr>
        <b/>
        <sz val="12"/>
        <color indexed="8"/>
        <rFont val="宋体"/>
        <family val="3"/>
        <charset val="134"/>
      </rPr>
      <t>核定数</t>
    </r>
  </si>
  <si>
    <t>初中部</t>
  </si>
  <si>
    <t>高中部</t>
  </si>
  <si>
    <r>
      <rPr>
        <b/>
        <sz val="12"/>
        <color indexed="8"/>
        <rFont val="宋体"/>
        <family val="3"/>
        <charset val="134"/>
      </rPr>
      <t>项目</t>
    </r>
  </si>
  <si>
    <t>核算数</t>
  </si>
  <si>
    <t>限额数</t>
  </si>
  <si>
    <t>核减数</t>
  </si>
  <si>
    <r>
      <rPr>
        <b/>
        <sz val="12"/>
        <color indexed="8"/>
        <rFont val="宋体"/>
        <family val="3"/>
        <charset val="134"/>
      </rPr>
      <t>教职工人数</t>
    </r>
  </si>
  <si>
    <t>（一）在职教职工人数</t>
  </si>
  <si>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</si>
  <si>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</si>
  <si>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</si>
  <si>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r>
      <rPr>
        <b/>
        <sz val="12"/>
        <color theme="1"/>
        <rFont val="Times New Roman"/>
        <family val="1"/>
      </rPr>
      <t>2019</t>
    </r>
    <r>
      <rPr>
        <b/>
        <sz val="12"/>
        <color indexed="8"/>
        <rFont val="宋体"/>
        <family val="3"/>
        <charset val="134"/>
      </rPr>
      <t>年上报数</t>
    </r>
  </si>
  <si>
    <r>
      <rPr>
        <b/>
        <sz val="12"/>
        <color theme="1"/>
        <rFont val="Times New Roman"/>
        <family val="1"/>
      </rPr>
      <t>2019</t>
    </r>
    <r>
      <rPr>
        <b/>
        <sz val="12"/>
        <color indexed="8"/>
        <rFont val="宋体"/>
        <family val="3"/>
        <charset val="134"/>
      </rPr>
      <t>年核减数</t>
    </r>
  </si>
  <si>
    <r>
      <rPr>
        <b/>
        <sz val="12"/>
        <rFont val="Times New Roman"/>
        <family val="1"/>
      </rPr>
      <t>2019</t>
    </r>
    <r>
      <rPr>
        <b/>
        <sz val="12"/>
        <rFont val="宋体"/>
        <family val="3"/>
        <charset val="134"/>
      </rPr>
      <t>年核定数</t>
    </r>
  </si>
  <si>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</si>
  <si>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</si>
  <si>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</si>
  <si>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</si>
  <si>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</si>
  <si>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</si>
  <si>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</si>
  <si>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</si>
  <si>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</si>
  <si>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r>
      <rPr>
        <b/>
        <sz val="12"/>
        <color theme="1"/>
        <rFont val="Times New Roman"/>
        <family val="1"/>
      </rPr>
      <t>2020</t>
    </r>
    <r>
      <rPr>
        <b/>
        <sz val="12"/>
        <color indexed="8"/>
        <rFont val="宋体"/>
        <family val="3"/>
        <charset val="134"/>
      </rPr>
      <t>年上报数</t>
    </r>
  </si>
  <si>
    <r>
      <rPr>
        <b/>
        <sz val="12"/>
        <color theme="1"/>
        <rFont val="Times New Roman"/>
        <family val="1"/>
      </rPr>
      <t>2020</t>
    </r>
    <r>
      <rPr>
        <b/>
        <sz val="12"/>
        <color indexed="8"/>
        <rFont val="宋体"/>
        <family val="3"/>
        <charset val="134"/>
      </rPr>
      <t>年核减数</t>
    </r>
  </si>
  <si>
    <r>
      <rPr>
        <b/>
        <sz val="12"/>
        <rFont val="Times New Roman"/>
        <family val="1"/>
      </rPr>
      <t>2020</t>
    </r>
    <r>
      <rPr>
        <b/>
        <sz val="12"/>
        <rFont val="宋体"/>
        <family val="3"/>
        <charset val="134"/>
      </rPr>
      <t>年核定数</t>
    </r>
  </si>
  <si>
    <r>
      <rPr>
        <b/>
        <sz val="12"/>
        <color theme="1"/>
        <rFont val="Times New Roman"/>
        <family val="1"/>
      </rPr>
      <t>2021</t>
    </r>
    <r>
      <rPr>
        <b/>
        <sz val="12"/>
        <color indexed="8"/>
        <rFont val="宋体"/>
        <family val="3"/>
        <charset val="134"/>
      </rPr>
      <t>年上报数</t>
    </r>
  </si>
  <si>
    <r>
      <rPr>
        <b/>
        <sz val="12"/>
        <color theme="1"/>
        <rFont val="Times New Roman"/>
        <family val="1"/>
      </rPr>
      <t>2021</t>
    </r>
    <r>
      <rPr>
        <b/>
        <sz val="12"/>
        <color indexed="8"/>
        <rFont val="宋体"/>
        <family val="3"/>
        <charset val="134"/>
      </rPr>
      <t>年核减数</t>
    </r>
  </si>
  <si>
    <r>
      <rPr>
        <b/>
        <sz val="12"/>
        <rFont val="Times New Roman"/>
        <family val="1"/>
      </rPr>
      <t>2021</t>
    </r>
    <r>
      <rPr>
        <b/>
        <sz val="12"/>
        <rFont val="宋体"/>
        <family val="3"/>
        <charset val="134"/>
      </rPr>
      <t>年核定数</t>
    </r>
  </si>
  <si>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</si>
  <si>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</si>
  <si>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</si>
  <si>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</si>
  <si>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</si>
  <si>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</si>
  <si>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sz val="12"/>
        <rFont val="Times New Roman"/>
        <family val="1"/>
      </rPr>
      <t>3-5</t>
    </r>
    <r>
      <rPr>
        <sz val="12"/>
        <rFont val="宋体"/>
        <family val="3"/>
        <charset val="134"/>
      </rPr>
      <t>年</t>
    </r>
  </si>
  <si>
    <r>
      <rPr>
        <b/>
        <sz val="12"/>
        <rFont val="宋体"/>
        <family val="3"/>
        <charset val="134"/>
      </rPr>
      <t>一、房屋及构筑物</t>
    </r>
  </si>
  <si>
    <r>
      <rPr>
        <sz val="12"/>
        <color rgb="FF000000"/>
        <rFont val="Times New Roman"/>
        <family val="1"/>
      </rPr>
      <t>1.</t>
    </r>
    <r>
      <rPr>
        <sz val="12"/>
        <color indexed="8"/>
        <rFont val="宋体"/>
        <family val="3"/>
        <charset val="134"/>
      </rPr>
      <t>房屋</t>
    </r>
  </si>
  <si>
    <r>
      <rPr>
        <sz val="12"/>
        <color rgb="FF000000"/>
        <rFont val="Times New Roman"/>
        <family val="1"/>
      </rPr>
      <t>2.</t>
    </r>
    <r>
      <rPr>
        <sz val="12"/>
        <color indexed="8"/>
        <rFont val="宋体"/>
        <family val="3"/>
        <charset val="134"/>
      </rPr>
      <t>简易房</t>
    </r>
  </si>
  <si>
    <r>
      <rPr>
        <sz val="12"/>
        <color rgb="FF000000"/>
        <rFont val="Times New Roman"/>
        <family val="1"/>
      </rPr>
      <t>3.</t>
    </r>
    <r>
      <rPr>
        <sz val="12"/>
        <color indexed="8"/>
        <rFont val="宋体"/>
        <family val="3"/>
        <charset val="134"/>
      </rPr>
      <t>房屋附属设施</t>
    </r>
  </si>
  <si>
    <r>
      <rPr>
        <sz val="12"/>
        <color rgb="FF000000"/>
        <rFont val="Times New Roman"/>
        <family val="1"/>
      </rPr>
      <t>4.</t>
    </r>
    <r>
      <rPr>
        <sz val="12"/>
        <color indexed="8"/>
        <rFont val="宋体"/>
        <family val="3"/>
        <charset val="134"/>
      </rPr>
      <t>构筑物</t>
    </r>
  </si>
  <si>
    <r>
      <rPr>
        <b/>
        <sz val="12"/>
        <color indexed="8"/>
        <rFont val="宋体"/>
        <family val="3"/>
        <charset val="134"/>
      </rPr>
      <t>二、通用设备</t>
    </r>
  </si>
  <si>
    <r>
      <rPr>
        <sz val="12"/>
        <color rgb="FF000000"/>
        <rFont val="Times New Roman"/>
        <family val="1"/>
      </rPr>
      <t>1.</t>
    </r>
    <r>
      <rPr>
        <sz val="12"/>
        <color indexed="8"/>
        <rFont val="宋体"/>
        <family val="3"/>
        <charset val="134"/>
      </rPr>
      <t>计算机设备</t>
    </r>
  </si>
  <si>
    <r>
      <rPr>
        <sz val="12"/>
        <color rgb="FF000000"/>
        <rFont val="Times New Roman"/>
        <family val="1"/>
      </rPr>
      <t>2.</t>
    </r>
    <r>
      <rPr>
        <sz val="12"/>
        <color indexed="8"/>
        <rFont val="宋体"/>
        <family val="3"/>
        <charset val="134"/>
      </rPr>
      <t>办公设备</t>
    </r>
  </si>
  <si>
    <r>
      <rPr>
        <sz val="12"/>
        <color rgb="FF000000"/>
        <rFont val="Times New Roman"/>
        <family val="1"/>
      </rPr>
      <t>3.</t>
    </r>
    <r>
      <rPr>
        <sz val="12"/>
        <color indexed="8"/>
        <rFont val="宋体"/>
        <family val="3"/>
        <charset val="134"/>
      </rPr>
      <t>车辆</t>
    </r>
  </si>
  <si>
    <r>
      <rPr>
        <sz val="12"/>
        <color rgb="FF000000"/>
        <rFont val="Times New Roman"/>
        <family val="1"/>
      </rPr>
      <t>4.</t>
    </r>
    <r>
      <rPr>
        <sz val="12"/>
        <color indexed="8"/>
        <rFont val="宋体"/>
        <family val="3"/>
        <charset val="134"/>
      </rPr>
      <t>图书档案设备</t>
    </r>
  </si>
  <si>
    <r>
      <rPr>
        <sz val="12"/>
        <color rgb="FF000000"/>
        <rFont val="Times New Roman"/>
        <family val="1"/>
      </rPr>
      <t>5.</t>
    </r>
    <r>
      <rPr>
        <sz val="12"/>
        <color indexed="8"/>
        <rFont val="宋体"/>
        <family val="3"/>
        <charset val="134"/>
      </rPr>
      <t>机械设备</t>
    </r>
  </si>
  <si>
    <r>
      <rPr>
        <sz val="12"/>
        <color rgb="FF000000"/>
        <rFont val="Times New Roman"/>
        <family val="1"/>
      </rPr>
      <t>6.</t>
    </r>
    <r>
      <rPr>
        <sz val="12"/>
        <color indexed="8"/>
        <rFont val="宋体"/>
        <family val="3"/>
        <charset val="134"/>
      </rPr>
      <t>电气设备</t>
    </r>
  </si>
  <si>
    <r>
      <rPr>
        <sz val="12"/>
        <color rgb="FF000000"/>
        <rFont val="Times New Roman"/>
        <family val="1"/>
      </rPr>
      <t>7.</t>
    </r>
    <r>
      <rPr>
        <sz val="12"/>
        <color indexed="8"/>
        <rFont val="宋体"/>
        <family val="3"/>
        <charset val="134"/>
      </rPr>
      <t>通信设备</t>
    </r>
  </si>
  <si>
    <r>
      <rPr>
        <sz val="12"/>
        <color rgb="FF000000"/>
        <rFont val="Times New Roman"/>
        <family val="1"/>
      </rPr>
      <t>8.</t>
    </r>
    <r>
      <rPr>
        <sz val="12"/>
        <color indexed="8"/>
        <rFont val="宋体"/>
        <family val="3"/>
        <charset val="134"/>
      </rPr>
      <t>广播、电视、电影设备</t>
    </r>
  </si>
  <si>
    <r>
      <rPr>
        <sz val="12"/>
        <color rgb="FF000000"/>
        <rFont val="Times New Roman"/>
        <family val="1"/>
      </rPr>
      <t>9.</t>
    </r>
    <r>
      <rPr>
        <sz val="12"/>
        <color indexed="8"/>
        <rFont val="宋体"/>
        <family val="3"/>
        <charset val="134"/>
      </rPr>
      <t>仪器仪表</t>
    </r>
  </si>
  <si>
    <r>
      <rPr>
        <sz val="12"/>
        <color rgb="FF000000"/>
        <rFont val="Times New Roman"/>
        <family val="1"/>
      </rPr>
      <t>10.</t>
    </r>
    <r>
      <rPr>
        <sz val="12"/>
        <color indexed="8"/>
        <rFont val="宋体"/>
        <family val="3"/>
        <charset val="134"/>
      </rPr>
      <t>电子和通信测量设备、</t>
    </r>
  </si>
  <si>
    <r>
      <rPr>
        <sz val="11"/>
        <color rgb="FF000000"/>
        <rFont val="Times New Roman"/>
        <family val="1"/>
      </rPr>
      <t>11.</t>
    </r>
    <r>
      <rPr>
        <sz val="11"/>
        <color indexed="8"/>
        <rFont val="宋体"/>
        <family val="3"/>
        <charset val="134"/>
      </rPr>
      <t>计量标准器具及量具、衡器</t>
    </r>
  </si>
  <si>
    <r>
      <rPr>
        <b/>
        <sz val="12"/>
        <color indexed="8"/>
        <rFont val="宋体"/>
        <family val="3"/>
        <charset val="134"/>
      </rPr>
      <t>三、专用设备</t>
    </r>
  </si>
  <si>
    <r>
      <rPr>
        <sz val="12"/>
        <rFont val="Times New Roman"/>
        <family val="1"/>
      </rPr>
      <t>3</t>
    </r>
    <r>
      <rPr>
        <sz val="12"/>
        <rFont val="宋体"/>
        <family val="3"/>
        <charset val="134"/>
      </rPr>
      <t>年</t>
    </r>
  </si>
  <si>
    <r>
      <rPr>
        <sz val="12"/>
        <color rgb="FF000000"/>
        <rFont val="Times New Roman"/>
        <family val="1"/>
      </rPr>
      <t>1.</t>
    </r>
    <r>
      <rPr>
        <sz val="12"/>
        <color indexed="8"/>
        <rFont val="宋体"/>
        <family val="3"/>
        <charset val="134"/>
      </rPr>
      <t>专用仪器仪表</t>
    </r>
  </si>
  <si>
    <r>
      <rPr>
        <sz val="12"/>
        <color rgb="FF000000"/>
        <rFont val="Times New Roman"/>
        <family val="1"/>
      </rPr>
      <t>2.</t>
    </r>
    <r>
      <rPr>
        <sz val="12"/>
        <color indexed="8"/>
        <rFont val="宋体"/>
        <family val="3"/>
        <charset val="134"/>
      </rPr>
      <t>文艺设备</t>
    </r>
  </si>
  <si>
    <r>
      <rPr>
        <sz val="12"/>
        <color rgb="FF000000"/>
        <rFont val="Times New Roman"/>
        <family val="1"/>
      </rPr>
      <t>3.</t>
    </r>
    <r>
      <rPr>
        <sz val="12"/>
        <color indexed="8"/>
        <rFont val="宋体"/>
        <family val="3"/>
        <charset val="134"/>
      </rPr>
      <t>体育设备</t>
    </r>
  </si>
  <si>
    <r>
      <rPr>
        <sz val="12"/>
        <color rgb="FF000000"/>
        <rFont val="Times New Roman"/>
        <family val="1"/>
      </rPr>
      <t>4.</t>
    </r>
    <r>
      <rPr>
        <sz val="12"/>
        <color indexed="8"/>
        <rFont val="宋体"/>
        <family val="3"/>
        <charset val="134"/>
      </rPr>
      <t>娱乐设备</t>
    </r>
  </si>
  <si>
    <r>
      <rPr>
        <sz val="12"/>
        <color rgb="FF000000"/>
        <rFont val="Times New Roman"/>
        <family val="1"/>
      </rPr>
      <t>5.</t>
    </r>
    <r>
      <rPr>
        <sz val="12"/>
        <color indexed="8"/>
        <rFont val="宋体"/>
        <family val="3"/>
        <charset val="134"/>
      </rPr>
      <t>公安专用设备</t>
    </r>
  </si>
  <si>
    <r>
      <rPr>
        <sz val="12"/>
        <color rgb="FF000000"/>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</si>
  <si>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</si>
  <si>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rgb="FF000000"/>
        <rFont val="Times New Roman"/>
        <family val="1"/>
      </rPr>
      <t>1.</t>
    </r>
    <r>
      <rPr>
        <sz val="12"/>
        <color indexed="8"/>
        <rFont val="宋体"/>
        <family val="3"/>
        <charset val="134"/>
      </rPr>
      <t>家具</t>
    </r>
  </si>
  <si>
    <t>其中：学生用家具（教学用）</t>
  </si>
  <si>
    <r>
      <rPr>
        <sz val="12"/>
        <color rgb="FF000000"/>
        <rFont val="Times New Roman"/>
        <family val="1"/>
      </rPr>
      <t>2.</t>
    </r>
    <r>
      <rPr>
        <sz val="12"/>
        <color indexed="8"/>
        <rFont val="宋体"/>
        <family val="3"/>
        <charset val="134"/>
      </rPr>
      <t>用具和装具</t>
    </r>
  </si>
  <si>
    <t>承 诺 书</t>
  </si>
  <si>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</si>
  <si>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</si>
  <si>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</si>
  <si>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theme="1"/>
        <rFont val="Times New Roman"/>
        <family val="1"/>
      </rPr>
      <t xml:space="preserve">                                                    </t>
    </r>
    <r>
      <rPr>
        <sz val="15"/>
        <color theme="1"/>
        <rFont val="宋体"/>
        <family val="3"/>
        <charset val="134"/>
      </rPr>
      <t>财务负责人员（签字）：</t>
    </r>
  </si>
  <si>
    <t xml:space="preserve">                              法人代表（签字）：</t>
  </si>
  <si>
    <r>
      <rPr>
        <sz val="15"/>
        <color theme="1"/>
        <rFont val="Times New Roman"/>
        <family val="1"/>
      </rP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</si>
  <si>
    <r>
      <t>2019</t>
    </r>
    <r>
      <rPr>
        <sz val="12"/>
        <rFont val="宋体"/>
        <family val="3"/>
        <charset val="134"/>
      </rPr>
      <t>年</t>
    </r>
    <phoneticPr fontId="38" type="noConversion"/>
  </si>
  <si>
    <r>
      <t>2020</t>
    </r>
    <r>
      <rPr>
        <sz val="12"/>
        <rFont val="宋体"/>
        <family val="3"/>
        <charset val="134"/>
      </rPr>
      <t>年</t>
    </r>
    <phoneticPr fontId="38" type="noConversion"/>
  </si>
  <si>
    <r>
      <t>2021</t>
    </r>
    <r>
      <rPr>
        <sz val="12"/>
        <rFont val="宋体"/>
        <family val="3"/>
        <charset val="134"/>
      </rPr>
      <t>年</t>
    </r>
    <phoneticPr fontId="38" type="noConversion"/>
  </si>
  <si>
    <t>标准学生人数</t>
  </si>
  <si>
    <t>标准学生人数</t>
    <phoneticPr fontId="38" type="noConversion"/>
  </si>
  <si>
    <t>实际学生人数</t>
    <phoneticPr fontId="38" type="noConversion"/>
  </si>
  <si>
    <t>2019年上半年人数</t>
    <phoneticPr fontId="38" type="noConversion"/>
  </si>
  <si>
    <t>2019年下半年人数</t>
    <phoneticPr fontId="38" type="noConversion"/>
  </si>
  <si>
    <t>2020年上半年人数</t>
    <phoneticPr fontId="38" type="noConversion"/>
  </si>
  <si>
    <t>2020年下半年人数</t>
    <phoneticPr fontId="38" type="noConversion"/>
  </si>
  <si>
    <t>2021年上半年人数</t>
    <phoneticPr fontId="38" type="noConversion"/>
  </si>
  <si>
    <t>2021年下半年人数</t>
    <phoneticPr fontId="38" type="noConversion"/>
  </si>
  <si>
    <r>
      <t xml:space="preserve">  2.</t>
    </r>
    <r>
      <rPr>
        <sz val="12"/>
        <rFont val="宋体"/>
        <family val="3"/>
        <charset val="134"/>
      </rPr>
      <t>福利费</t>
    </r>
    <phoneticPr fontId="38" type="noConversion"/>
  </si>
  <si>
    <r>
      <t xml:space="preserve">    18.</t>
    </r>
    <r>
      <rPr>
        <sz val="12"/>
        <color indexed="8"/>
        <rFont val="宋体"/>
        <family val="3"/>
        <charset val="134"/>
      </rPr>
      <t>职工教育经费</t>
    </r>
    <phoneticPr fontId="38" type="noConversion"/>
  </si>
  <si>
    <r>
      <t xml:space="preserve">    10.</t>
    </r>
    <r>
      <rPr>
        <sz val="12"/>
        <color indexed="8"/>
        <rFont val="宋体"/>
        <family val="3"/>
        <charset val="134"/>
      </rPr>
      <t>广告费</t>
    </r>
    <phoneticPr fontId="38" type="noConversion"/>
  </si>
  <si>
    <t>2021年学校固定资产折旧计算表</t>
    <phoneticPr fontId="38" type="noConversion"/>
  </si>
  <si>
    <t>当地教育行业人均数</t>
    <phoneticPr fontId="38" type="noConversion"/>
  </si>
  <si>
    <t>核定人数</t>
    <phoneticPr fontId="38" type="noConversion"/>
  </si>
  <si>
    <t>2019年</t>
    <phoneticPr fontId="38" type="noConversion"/>
  </si>
  <si>
    <t>2020年</t>
    <phoneticPr fontId="38" type="noConversion"/>
  </si>
  <si>
    <t>2021年</t>
    <phoneticPr fontId="38" type="noConversion"/>
  </si>
  <si>
    <t>核定平均总额</t>
    <phoneticPr fontId="38" type="noConversion"/>
  </si>
  <si>
    <t>按照计提固定构筑物的原值（计提）折旧，按照年平均学生人数占设计办学规模人数的比列折算后计入教育培养成本，本年度学生总数为203人，设计为6000人，按照703万年均房屋折旧为237848.33元，（包括所有建筑）</t>
    <phoneticPr fontId="38" type="noConversion"/>
  </si>
  <si>
    <t>二、设备</t>
    <phoneticPr fontId="38" type="noConversion"/>
  </si>
  <si>
    <t>郡祁学校</t>
    <phoneticPr fontId="38" type="noConversion"/>
  </si>
  <si>
    <t>郡祁高级中学有限公司</t>
    <phoneticPr fontId="38" type="noConversion"/>
  </si>
  <si>
    <t>总额</t>
    <phoneticPr fontId="38" type="noConversion"/>
  </si>
  <si>
    <t>分摊总额</t>
    <phoneticPr fontId="38" type="noConversion"/>
  </si>
  <si>
    <t>学费占比</t>
    <phoneticPr fontId="38" type="noConversion"/>
  </si>
  <si>
    <t>住宿费占比</t>
    <phoneticPr fontId="38" type="noConversion"/>
  </si>
  <si>
    <t>三、按照事业收入项目分摊的固定资产折旧</t>
    <phoneticPr fontId="38" type="noConversion"/>
  </si>
  <si>
    <t>服务费占比</t>
    <phoneticPr fontId="38" type="noConversion"/>
  </si>
  <si>
    <t>限额值（1.2倍）</t>
    <phoneticPr fontId="38" type="noConversion"/>
  </si>
  <si>
    <t>年工资福利支出</t>
    <phoneticPr fontId="38" type="noConversion"/>
  </si>
  <si>
    <t>总额</t>
    <phoneticPr fontId="38" type="noConversion"/>
  </si>
  <si>
    <t>不超过14%</t>
    <phoneticPr fontId="38" type="noConversion"/>
  </si>
  <si>
    <t>不超过12%，不低于5%</t>
  </si>
  <si>
    <t>不超过12%，不低于5%</t>
    <phoneticPr fontId="38" type="noConversion"/>
  </si>
  <si>
    <t>分摊金额（元）</t>
    <phoneticPr fontId="38" type="noConversion"/>
  </si>
  <si>
    <t>按照计提固定构筑物的原值（计提）折旧，按照年平均学生人数占设计办学规模人数的比列折算后计入教育培养成本，本年度学生总数为1504人，设计为6000人，按照703万年均房屋折旧为1762186.67元，（包括所有建筑）</t>
    <phoneticPr fontId="38" type="noConversion"/>
  </si>
  <si>
    <t>各项收入占总收入比列</t>
    <phoneticPr fontId="38" type="noConversion"/>
  </si>
  <si>
    <t>学费</t>
    <phoneticPr fontId="38" type="noConversion"/>
  </si>
  <si>
    <t>住宿费</t>
    <phoneticPr fontId="38" type="noConversion"/>
  </si>
  <si>
    <t>服务费</t>
    <phoneticPr fontId="38" type="noConversion"/>
  </si>
  <si>
    <r>
      <t xml:space="preserve">  1.</t>
    </r>
    <r>
      <rPr>
        <sz val="12"/>
        <rFont val="宋体"/>
        <family val="3"/>
        <charset val="134"/>
      </rPr>
      <t>工资</t>
    </r>
    <phoneticPr fontId="38" type="noConversion"/>
  </si>
  <si>
    <r>
      <t xml:space="preserve">    8.</t>
    </r>
    <r>
      <rPr>
        <sz val="12"/>
        <color indexed="8"/>
        <rFont val="宋体"/>
        <family val="3"/>
        <charset val="134"/>
      </rPr>
      <t>网络费用</t>
    </r>
    <phoneticPr fontId="38" type="noConversion"/>
  </si>
  <si>
    <t>取初中为标准0.8，小学为初中的0.56计算</t>
    <phoneticPr fontId="38" type="noConversion"/>
  </si>
  <si>
    <t>六、核定教育培养总成本（元）</t>
    <phoneticPr fontId="38" type="noConversion"/>
  </si>
  <si>
    <r>
      <t xml:space="preserve">    </t>
    </r>
    <r>
      <rPr>
        <sz val="12"/>
        <rFont val="宋体"/>
        <family val="3"/>
        <charset val="134"/>
      </rPr>
      <t>三年小学平均教育培养成本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8" type="noConversion"/>
  </si>
  <si>
    <r>
      <t xml:space="preserve">    </t>
    </r>
    <r>
      <rPr>
        <sz val="12"/>
        <rFont val="宋体"/>
        <family val="3"/>
        <charset val="134"/>
      </rPr>
      <t>三年初中平均教育培养成本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8" type="noConversion"/>
  </si>
  <si>
    <t>237848.33+536060.14</t>
    <phoneticPr fontId="38" type="noConversion"/>
  </si>
  <si>
    <t>加高中人数标准</t>
    <phoneticPr fontId="38" type="noConversion"/>
  </si>
  <si>
    <t>加高中人数实际</t>
    <phoneticPr fontId="38" type="noConversion"/>
  </si>
  <si>
    <t>按照计提固定构筑物的原值（计提）折旧，按照年平均学生人数占设计办学规模人数的比列折算后计入教育培养成本，本年度学生总数为964人，设计为6000人，按照703万年均房屋折旧为1129486.67元，（包括所有建筑）</t>
    <phoneticPr fontId="38" type="noConversion"/>
  </si>
  <si>
    <r>
      <rPr>
        <sz val="12"/>
        <color rgb="FF000000"/>
        <rFont val="宋体"/>
        <family val="3"/>
        <charset val="134"/>
      </rPr>
      <t>按固定资产年末总值计算，取设备平均折旧年限</t>
    </r>
    <r>
      <rPr>
        <sz val="12"/>
        <color rgb="FF000000"/>
        <rFont val="Times New Roman"/>
        <family val="1"/>
      </rPr>
      <t>6</t>
    </r>
    <r>
      <rPr>
        <sz val="12"/>
        <color rgb="FF000000"/>
        <rFont val="宋体"/>
        <family val="3"/>
        <charset val="134"/>
      </rPr>
      <t>年，认定残值率为</t>
    </r>
    <r>
      <rPr>
        <sz val="12"/>
        <color rgb="FF000000"/>
        <rFont val="Times New Roman"/>
        <family val="1"/>
      </rPr>
      <t>5%</t>
    </r>
    <r>
      <rPr>
        <sz val="12"/>
        <color rgb="FF000000"/>
        <rFont val="宋体"/>
        <family val="3"/>
        <charset val="134"/>
      </rPr>
      <t>。按照年平均学生人数占总平均（</t>
    </r>
    <r>
      <rPr>
        <sz val="12"/>
        <color rgb="FF000000"/>
        <rFont val="Times New Roman"/>
        <family val="1"/>
      </rPr>
      <t>+</t>
    </r>
    <r>
      <rPr>
        <sz val="12"/>
        <color rgb="FF000000"/>
        <rFont val="宋体"/>
        <family val="3"/>
        <charset val="134"/>
      </rPr>
      <t>高中）学生人数的比列折算后计入教育培养成本，</t>
    </r>
    <r>
      <rPr>
        <sz val="12"/>
        <color rgb="FF000000"/>
        <rFont val="Times New Roman"/>
        <family val="1"/>
      </rPr>
      <t>2019</t>
    </r>
    <r>
      <rPr>
        <sz val="12"/>
        <color rgb="FF000000"/>
        <rFont val="宋体"/>
        <family val="3"/>
        <charset val="134"/>
      </rPr>
      <t>年没有高中学生，固定资产折旧全部计入定价成本</t>
    </r>
    <phoneticPr fontId="38" type="noConversion"/>
  </si>
  <si>
    <r>
      <rPr>
        <sz val="12"/>
        <color rgb="FF000000"/>
        <rFont val="宋体"/>
        <family val="3"/>
        <charset val="134"/>
      </rPr>
      <t>按固定资产年末总值计算，取设备平均折旧年限</t>
    </r>
    <r>
      <rPr>
        <sz val="12"/>
        <color rgb="FF000000"/>
        <rFont val="Times New Roman"/>
        <family val="1"/>
      </rPr>
      <t>6</t>
    </r>
    <r>
      <rPr>
        <sz val="12"/>
        <color rgb="FF000000"/>
        <rFont val="宋体"/>
        <family val="3"/>
        <charset val="134"/>
      </rPr>
      <t>年，认定残值率为</t>
    </r>
    <r>
      <rPr>
        <sz val="12"/>
        <color rgb="FF000000"/>
        <rFont val="Times New Roman"/>
        <family val="1"/>
      </rPr>
      <t>5%</t>
    </r>
    <r>
      <rPr>
        <sz val="12"/>
        <color rgb="FF000000"/>
        <rFont val="宋体"/>
        <family val="3"/>
        <charset val="134"/>
      </rPr>
      <t>。按照年平均学生人数占总平均（</t>
    </r>
    <r>
      <rPr>
        <sz val="12"/>
        <color rgb="FF000000"/>
        <rFont val="Times New Roman"/>
        <family val="1"/>
      </rPr>
      <t>+</t>
    </r>
    <r>
      <rPr>
        <sz val="12"/>
        <color rgb="FF000000"/>
        <rFont val="宋体"/>
        <family val="3"/>
        <charset val="134"/>
      </rPr>
      <t>高中）学生人数的比列折算后计入教育培养成本，本年度学生总数为</t>
    </r>
    <r>
      <rPr>
        <sz val="12"/>
        <color rgb="FF000000"/>
        <rFont val="Times New Roman"/>
        <family val="1"/>
      </rPr>
      <t>964</t>
    </r>
    <r>
      <rPr>
        <sz val="12"/>
        <color rgb="FF000000"/>
        <rFont val="宋体"/>
        <family val="3"/>
        <charset val="134"/>
      </rPr>
      <t>人，实际为</t>
    </r>
    <r>
      <rPr>
        <sz val="12"/>
        <color rgb="FF000000"/>
        <rFont val="Times New Roman"/>
        <family val="1"/>
      </rPr>
      <t>1078</t>
    </r>
    <r>
      <rPr>
        <sz val="12"/>
        <color rgb="FF000000"/>
        <rFont val="宋体"/>
        <family val="3"/>
        <charset val="134"/>
      </rPr>
      <t>人（</t>
    </r>
    <r>
      <rPr>
        <sz val="12"/>
        <color rgb="FF000000"/>
        <rFont val="Times New Roman"/>
        <family val="1"/>
      </rPr>
      <t>+</t>
    </r>
    <r>
      <rPr>
        <sz val="12"/>
        <color rgb="FF000000"/>
        <rFont val="宋体"/>
        <family val="3"/>
        <charset val="134"/>
      </rPr>
      <t>高中教育），按照</t>
    </r>
    <r>
      <rPr>
        <sz val="12"/>
        <color rgb="FF000000"/>
        <rFont val="Times New Roman"/>
        <family val="1"/>
      </rPr>
      <t>2163232.91</t>
    </r>
    <r>
      <rPr>
        <sz val="12"/>
        <color rgb="FF000000"/>
        <rFont val="宋体"/>
        <family val="3"/>
        <charset val="134"/>
      </rPr>
      <t>元，年均设备折旧</t>
    </r>
    <r>
      <rPr>
        <sz val="12"/>
        <color rgb="FF000000"/>
        <rFont val="Times New Roman"/>
        <family val="1"/>
      </rPr>
      <t>=2163232.91</t>
    </r>
    <r>
      <rPr>
        <sz val="12"/>
        <color rgb="FF000000"/>
        <rFont val="宋体"/>
        <family val="3"/>
        <charset val="134"/>
      </rPr>
      <t>×</t>
    </r>
    <r>
      <rPr>
        <sz val="12"/>
        <color rgb="FF000000"/>
        <rFont val="Times New Roman"/>
        <family val="1"/>
      </rPr>
      <t>964</t>
    </r>
    <r>
      <rPr>
        <sz val="12"/>
        <color rgb="FF000000"/>
        <rFont val="宋体"/>
        <family val="3"/>
        <charset val="134"/>
      </rPr>
      <t>÷</t>
    </r>
    <r>
      <rPr>
        <sz val="12"/>
        <color rgb="FF000000"/>
        <rFont val="Times New Roman"/>
        <family val="1"/>
      </rPr>
      <t>1078=1782212.78</t>
    </r>
    <r>
      <rPr>
        <sz val="12"/>
        <color rgb="FF000000"/>
        <rFont val="宋体"/>
        <family val="3"/>
        <charset val="134"/>
      </rPr>
      <t>元，（公摊所有设备）</t>
    </r>
    <r>
      <rPr>
        <sz val="12"/>
        <color rgb="FF000000"/>
        <rFont val="Times New Roman"/>
        <family val="1"/>
      </rPr>
      <t/>
    </r>
    <phoneticPr fontId="38" type="noConversion"/>
  </si>
  <si>
    <r>
      <rPr>
        <sz val="11"/>
        <color rgb="FF000000"/>
        <rFont val="宋体"/>
        <family val="3"/>
        <charset val="134"/>
      </rPr>
      <t>按固定资产年末总值计算，取设备平均折旧年限</t>
    </r>
    <r>
      <rPr>
        <sz val="11"/>
        <color rgb="FF000000"/>
        <rFont val="Times New Roman"/>
        <family val="1"/>
      </rPr>
      <t>6</t>
    </r>
    <r>
      <rPr>
        <sz val="11"/>
        <color rgb="FF000000"/>
        <rFont val="宋体"/>
        <family val="3"/>
        <charset val="134"/>
      </rPr>
      <t>年，认定残值率为</t>
    </r>
    <r>
      <rPr>
        <sz val="11"/>
        <color rgb="FF000000"/>
        <rFont val="Times New Roman"/>
        <family val="1"/>
      </rPr>
      <t>5%</t>
    </r>
    <r>
      <rPr>
        <sz val="11"/>
        <color rgb="FF000000"/>
        <rFont val="宋体"/>
        <family val="3"/>
        <charset val="134"/>
      </rPr>
      <t>。按照年平均学生人数占总平均（</t>
    </r>
    <r>
      <rPr>
        <sz val="11"/>
        <color rgb="FF000000"/>
        <rFont val="Times New Roman"/>
        <family val="1"/>
      </rPr>
      <t>+</t>
    </r>
    <r>
      <rPr>
        <sz val="11"/>
        <color rgb="FF000000"/>
        <rFont val="宋体"/>
        <family val="3"/>
        <charset val="134"/>
      </rPr>
      <t>高中）学生人数的比列折算后计入教育培养成本，本年度学生总数为</t>
    </r>
    <r>
      <rPr>
        <sz val="11"/>
        <color rgb="FF000000"/>
        <rFont val="Times New Roman"/>
        <family val="1"/>
      </rPr>
      <t>1504</t>
    </r>
    <r>
      <rPr>
        <sz val="11"/>
        <color rgb="FF000000"/>
        <rFont val="宋体"/>
        <family val="3"/>
        <charset val="134"/>
      </rPr>
      <t>人，实际人数</t>
    </r>
    <r>
      <rPr>
        <sz val="11"/>
        <color rgb="FF000000"/>
        <rFont val="Times New Roman"/>
        <family val="1"/>
      </rPr>
      <t>2034</t>
    </r>
    <r>
      <rPr>
        <sz val="11"/>
        <color rgb="FF000000"/>
        <rFont val="宋体"/>
        <family val="3"/>
        <charset val="134"/>
      </rPr>
      <t>人，年均设备折旧</t>
    </r>
    <r>
      <rPr>
        <sz val="11"/>
        <color rgb="FF000000"/>
        <rFont val="Times New Roman"/>
        <family val="1"/>
      </rPr>
      <t>=2711087.83</t>
    </r>
    <r>
      <rPr>
        <sz val="11"/>
        <color rgb="FF000000"/>
        <rFont val="宋体"/>
        <family val="3"/>
        <charset val="134"/>
      </rPr>
      <t>×</t>
    </r>
    <r>
      <rPr>
        <sz val="11"/>
        <color rgb="FF000000"/>
        <rFont val="Times New Roman"/>
        <family val="1"/>
      </rPr>
      <t>1504</t>
    </r>
    <r>
      <rPr>
        <sz val="11"/>
        <color rgb="FF000000"/>
        <rFont val="宋体"/>
        <family val="3"/>
        <charset val="134"/>
      </rPr>
      <t>÷</t>
    </r>
    <r>
      <rPr>
        <sz val="11"/>
        <color rgb="FF000000"/>
        <rFont val="Times New Roman"/>
        <family val="1"/>
      </rPr>
      <t>2034=2004658.85</t>
    </r>
    <r>
      <rPr>
        <sz val="11"/>
        <color rgb="FF000000"/>
        <rFont val="宋体"/>
        <family val="3"/>
        <charset val="134"/>
      </rPr>
      <t>元（公摊所有设备）</t>
    </r>
    <r>
      <rPr>
        <sz val="10"/>
        <color rgb="FF000000"/>
        <rFont val="Times New Roman"/>
        <family val="1"/>
      </rPr>
      <t/>
    </r>
    <phoneticPr fontId="38" type="noConversion"/>
  </si>
  <si>
    <t>顶薪核减福利等支出</t>
    <phoneticPr fontId="38" type="noConversion"/>
  </si>
  <si>
    <t>郡祁学校基本情况表</t>
    <phoneticPr fontId="38" type="noConversion"/>
  </si>
  <si>
    <t>郡祁学校收入情况表</t>
    <phoneticPr fontId="38" type="noConversion"/>
  </si>
  <si>
    <t>郡祁学校教育成本归集表</t>
    <phoneticPr fontId="38" type="noConversion"/>
  </si>
  <si>
    <t>郡祁学校学生人数核定表</t>
    <phoneticPr fontId="38" type="noConversion"/>
  </si>
  <si>
    <t>郡祁学校教职工人数核定表</t>
    <phoneticPr fontId="38" type="noConversion"/>
  </si>
  <si>
    <t>郡祁学校教职工年工资总额核定表</t>
    <phoneticPr fontId="38" type="noConversion"/>
  </si>
  <si>
    <t>郡祁学校职工薪酬核定表</t>
    <phoneticPr fontId="38" type="noConversion"/>
  </si>
  <si>
    <t>2019年郡祁学校固定资产折旧核定表</t>
    <phoneticPr fontId="38" type="noConversion"/>
  </si>
  <si>
    <t>2020年郡祁学校固定资产折旧核定表</t>
    <phoneticPr fontId="38" type="noConversion"/>
  </si>
  <si>
    <t>2021年郡祁学校固定资产折旧核定表</t>
    <phoneticPr fontId="38" type="noConversion"/>
  </si>
  <si>
    <t>1762186.67+2711087.83</t>
    <phoneticPr fontId="38" type="noConversion"/>
  </si>
  <si>
    <t>1129486.67+2163232.91</t>
    <phoneticPr fontId="38" type="noConversion"/>
  </si>
  <si>
    <t>郡祁学校教育培养成本核定表</t>
    <phoneticPr fontId="38" type="noConversion"/>
  </si>
</sst>
</file>

<file path=xl/styles.xml><?xml version="1.0" encoding="utf-8"?>
<styleSheet xmlns="http://schemas.openxmlformats.org/spreadsheetml/2006/main">
  <numFmts count="7">
    <numFmt numFmtId="43" formatCode="_ * #,##0.00_ ;_ * \-#,##0.00_ ;_ * &quot;-&quot;??_ ;_ @_ "/>
    <numFmt numFmtId="176" formatCode="#,##0.00_ "/>
    <numFmt numFmtId="177" formatCode="0_ "/>
    <numFmt numFmtId="178" formatCode="#,##0.00_);[Red]\(#,##0.00\)"/>
    <numFmt numFmtId="179" formatCode="0.00_ "/>
    <numFmt numFmtId="180" formatCode="0.00_);[Red]\(0.00\)"/>
    <numFmt numFmtId="181" formatCode="0_);[Red]\(0\)"/>
  </numFmts>
  <fonts count="42">
    <font>
      <sz val="11"/>
      <color theme="1"/>
      <name val="宋体"/>
      <charset val="134"/>
      <scheme val="minor"/>
    </font>
    <font>
      <b/>
      <sz val="26"/>
      <color theme="1"/>
      <name val="方正黑体_GBK"/>
      <charset val="134"/>
    </font>
    <font>
      <sz val="15"/>
      <color theme="1"/>
      <name val="宋体"/>
      <family val="3"/>
      <charset val="134"/>
    </font>
    <font>
      <sz val="15"/>
      <color theme="1"/>
      <name val="Calibri"/>
      <family val="2"/>
    </font>
    <font>
      <sz val="15"/>
      <color theme="1"/>
      <name val="Times New Roman"/>
      <family val="1"/>
    </font>
    <font>
      <b/>
      <sz val="20"/>
      <color rgb="FF000000"/>
      <name val="方正小标宋简体"/>
      <charset val="134"/>
    </font>
    <font>
      <b/>
      <sz val="12"/>
      <color rgb="FF000000"/>
      <name val="Times New Roman"/>
      <family val="1"/>
    </font>
    <font>
      <b/>
      <sz val="12"/>
      <name val="Times New Roman"/>
      <family val="1"/>
    </font>
    <font>
      <sz val="12"/>
      <name val="Times New Roman"/>
      <family val="1"/>
    </font>
    <font>
      <sz val="12"/>
      <color rgb="FF000000"/>
      <name val="Times New Roman"/>
      <family val="1"/>
    </font>
    <font>
      <sz val="11"/>
      <color rgb="FF000000"/>
      <name val="Times New Roman"/>
      <family val="1"/>
    </font>
    <font>
      <sz val="11"/>
      <color indexed="8"/>
      <name val="宋体"/>
      <family val="3"/>
      <charset val="134"/>
    </font>
    <font>
      <b/>
      <sz val="20"/>
      <name val="方正小标宋简体"/>
      <charset val="134"/>
    </font>
    <font>
      <sz val="12"/>
      <name val="宋体"/>
      <family val="3"/>
      <charset val="134"/>
    </font>
    <font>
      <b/>
      <sz val="12"/>
      <color theme="1"/>
      <name val="Times New Roman"/>
      <family val="1"/>
    </font>
    <font>
      <b/>
      <sz val="12"/>
      <name val="宋体"/>
      <family val="3"/>
      <charset val="134"/>
    </font>
    <font>
      <b/>
      <sz val="11"/>
      <color theme="1"/>
      <name val="宋体"/>
      <family val="3"/>
      <charset val="134"/>
      <scheme val="minor"/>
    </font>
    <font>
      <b/>
      <sz val="12"/>
      <color rgb="FFFF0000"/>
      <name val="宋体"/>
      <family val="3"/>
      <charset val="134"/>
    </font>
    <font>
      <sz val="12"/>
      <color rgb="FF000000"/>
      <name val="宋体"/>
      <family val="3"/>
      <charset val="134"/>
    </font>
    <font>
      <sz val="16"/>
      <name val="Times New Roman"/>
      <family val="1"/>
    </font>
    <font>
      <b/>
      <sz val="10"/>
      <name val="Times New Roman"/>
      <family val="1"/>
    </font>
    <font>
      <b/>
      <sz val="12"/>
      <color rgb="FFFF000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1"/>
      <color rgb="FFFF0000"/>
      <name val="宋体"/>
      <family val="3"/>
      <charset val="134"/>
      <scheme val="minor"/>
    </font>
    <font>
      <sz val="12"/>
      <color theme="1"/>
      <name val="宋体"/>
      <family val="3"/>
      <charset val="134"/>
    </font>
    <font>
      <sz val="16"/>
      <color rgb="FF000000"/>
      <name val="方正楷体简体"/>
      <charset val="134"/>
    </font>
    <font>
      <sz val="12"/>
      <name val="Calibri"/>
      <family val="2"/>
    </font>
    <font>
      <sz val="11"/>
      <color theme="1"/>
      <name val="宋体"/>
      <family val="3"/>
      <charset val="134"/>
      <scheme val="minor"/>
    </font>
    <font>
      <sz val="16"/>
      <color theme="1"/>
      <name val="Times New Roman"/>
      <family val="1"/>
    </font>
    <font>
      <sz val="16"/>
      <color theme="1"/>
      <name val="宋体"/>
      <family val="3"/>
      <charset val="134"/>
    </font>
    <font>
      <b/>
      <sz val="12"/>
      <color indexed="8"/>
      <name val="宋体"/>
      <family val="3"/>
      <charset val="134"/>
    </font>
    <font>
      <sz val="12"/>
      <color indexed="8"/>
      <name val="宋体"/>
      <family val="3"/>
      <charset val="134"/>
    </font>
    <font>
      <sz val="16"/>
      <name val="宋体"/>
      <family val="3"/>
      <charset val="134"/>
    </font>
    <font>
      <sz val="9"/>
      <name val="宋体"/>
      <family val="3"/>
      <charset val="134"/>
    </font>
    <font>
      <b/>
      <sz val="9"/>
      <name val="宋体"/>
      <family val="3"/>
      <charset val="134"/>
    </font>
    <font>
      <sz val="9"/>
      <name val="宋体"/>
      <family val="3"/>
      <charset val="134"/>
      <scheme val="minor"/>
    </font>
    <font>
      <sz val="18"/>
      <color theme="1"/>
      <name val="宋体"/>
      <family val="3"/>
      <charset val="134"/>
      <scheme val="minor"/>
    </font>
    <font>
      <sz val="11"/>
      <color rgb="FF000000"/>
      <name val="宋体"/>
      <family val="3"/>
      <charset val="134"/>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medium">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cellStyleXfs>
  <cellXfs count="19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6"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Fill="1" applyBorder="1" applyAlignment="1" applyProtection="1">
      <alignment vertical="center" wrapText="1"/>
    </xf>
    <xf numFmtId="0" fontId="8" fillId="0" borderId="1" xfId="2" applyFont="1" applyBorder="1" applyAlignment="1">
      <alignment vertical="center" wrapText="1"/>
    </xf>
    <xf numFmtId="0" fontId="8" fillId="0" borderId="1" xfId="2" applyFont="1" applyBorder="1" applyAlignment="1">
      <alignment horizontal="center" vertical="center" wrapText="1"/>
    </xf>
    <xf numFmtId="9" fontId="8" fillId="0" borderId="1" xfId="2" applyNumberFormat="1" applyFont="1" applyBorder="1" applyAlignment="1">
      <alignment vertical="center" wrapText="1"/>
    </xf>
    <xf numFmtId="0" fontId="7" fillId="0" borderId="1" xfId="2" applyFont="1" applyFill="1" applyBorder="1" applyAlignment="1" applyProtection="1">
      <alignment horizontal="left" vertical="center" wrapText="1"/>
    </xf>
    <xf numFmtId="0" fontId="7" fillId="0" borderId="1" xfId="2" applyFont="1" applyBorder="1" applyAlignment="1">
      <alignment vertical="center" wrapText="1"/>
    </xf>
    <xf numFmtId="0" fontId="9" fillId="0" borderId="1" xfId="2" applyFont="1" applyBorder="1" applyAlignment="1">
      <alignment horizontal="justify" vertical="center" wrapText="1"/>
    </xf>
    <xf numFmtId="0" fontId="6" fillId="0" borderId="1" xfId="2" applyFont="1" applyBorder="1" applyAlignment="1">
      <alignment horizontal="justify" vertical="center" wrapText="1"/>
    </xf>
    <xf numFmtId="0" fontId="10" fillId="0" borderId="1" xfId="2" applyFont="1" applyBorder="1" applyAlignment="1">
      <alignment horizontal="justify" vertical="center" wrapText="1"/>
    </xf>
    <xf numFmtId="0" fontId="11" fillId="0" borderId="1" xfId="2" applyFont="1" applyBorder="1" applyAlignment="1">
      <alignment horizontal="justify" vertical="center" wrapText="1"/>
    </xf>
    <xf numFmtId="0" fontId="13" fillId="0" borderId="0" xfId="1" applyFont="1" applyFill="1" applyBorder="1" applyAlignment="1"/>
    <xf numFmtId="0" fontId="14" fillId="0" borderId="1" xfId="2" applyFont="1" applyFill="1" applyBorder="1" applyAlignment="1">
      <alignment horizontal="center" vertical="center"/>
    </xf>
    <xf numFmtId="43" fontId="14" fillId="0" borderId="1" xfId="3" applyNumberFormat="1" applyFont="1" applyFill="1" applyBorder="1" applyAlignment="1">
      <alignment horizontal="center" vertical="center"/>
    </xf>
    <xf numFmtId="43" fontId="7" fillId="0" borderId="1" xfId="3" applyNumberFormat="1" applyFont="1" applyFill="1" applyBorder="1" applyAlignment="1">
      <alignment horizontal="center" vertical="center"/>
    </xf>
    <xf numFmtId="0" fontId="16" fillId="0" borderId="1" xfId="0" applyFont="1" applyBorder="1" applyAlignment="1">
      <alignment horizontal="center" vertical="center"/>
    </xf>
    <xf numFmtId="0" fontId="8" fillId="0" borderId="1" xfId="2" applyFont="1" applyFill="1" applyBorder="1" applyAlignment="1">
      <alignment horizontal="left" vertical="center"/>
    </xf>
    <xf numFmtId="176" fontId="8" fillId="0" borderId="1" xfId="2" applyNumberFormat="1" applyFont="1" applyFill="1" applyBorder="1" applyAlignment="1">
      <alignment horizontal="center" vertical="center"/>
    </xf>
    <xf numFmtId="0" fontId="8" fillId="0" borderId="1" xfId="2" applyFont="1" applyBorder="1">
      <alignment vertical="center"/>
    </xf>
    <xf numFmtId="0" fontId="0" fillId="0" borderId="1" xfId="0" applyBorder="1">
      <alignment vertical="center"/>
    </xf>
    <xf numFmtId="0" fontId="13" fillId="0" borderId="1" xfId="2" applyFont="1" applyFill="1" applyBorder="1" applyAlignment="1">
      <alignment horizontal="left" vertical="center"/>
    </xf>
    <xf numFmtId="0" fontId="14" fillId="0" borderId="1"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4" fillId="2" borderId="1" xfId="1" applyFont="1" applyFill="1" applyBorder="1" applyAlignment="1">
      <alignment horizontal="center" vertical="center"/>
    </xf>
    <xf numFmtId="0" fontId="13" fillId="2" borderId="1" xfId="1" applyFont="1" applyFill="1" applyBorder="1" applyAlignment="1" applyProtection="1">
      <alignment horizontal="left" vertical="center"/>
    </xf>
    <xf numFmtId="0" fontId="8" fillId="0" borderId="1" xfId="1" applyFont="1" applyBorder="1" applyAlignment="1">
      <alignment horizontal="center" vertical="center"/>
    </xf>
    <xf numFmtId="177" fontId="8" fillId="0" borderId="1" xfId="1" applyNumberFormat="1" applyFont="1" applyBorder="1" applyAlignment="1">
      <alignment horizontal="center" vertical="center"/>
    </xf>
    <xf numFmtId="177" fontId="8" fillId="0" borderId="1" xfId="1"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2" borderId="1" xfId="1" applyFont="1" applyFill="1" applyBorder="1" applyAlignment="1" applyProtection="1">
      <alignment horizontal="left" vertical="center" indent="2"/>
    </xf>
    <xf numFmtId="176" fontId="9" fillId="2" borderId="1" xfId="1" applyNumberFormat="1" applyFont="1" applyFill="1" applyBorder="1" applyAlignment="1">
      <alignment horizontal="left" vertical="center"/>
    </xf>
    <xf numFmtId="176" fontId="18" fillId="2" borderId="1" xfId="1" applyNumberFormat="1" applyFont="1" applyFill="1" applyBorder="1" applyAlignment="1">
      <alignment horizontal="left" vertical="center"/>
    </xf>
    <xf numFmtId="0" fontId="8" fillId="0" borderId="2" xfId="1" applyFont="1" applyFill="1" applyBorder="1" applyAlignment="1">
      <alignment horizontal="center" vertical="center"/>
    </xf>
    <xf numFmtId="0" fontId="8" fillId="2" borderId="1" xfId="1" applyFont="1" applyFill="1" applyBorder="1">
      <alignment vertical="center"/>
    </xf>
    <xf numFmtId="0" fontId="8" fillId="0" borderId="1" xfId="1" applyFont="1" applyBorder="1">
      <alignment vertical="center"/>
    </xf>
    <xf numFmtId="0" fontId="15" fillId="0" borderId="1" xfId="1" applyFont="1" applyBorder="1" applyAlignment="1">
      <alignment horizontal="center" vertical="center"/>
    </xf>
    <xf numFmtId="0" fontId="8" fillId="0" borderId="0" xfId="1" applyFont="1">
      <alignment vertical="center"/>
    </xf>
    <xf numFmtId="0" fontId="19" fillId="0" borderId="0" xfId="1" applyFont="1" applyFill="1" applyAlignment="1" applyProtection="1">
      <alignment vertical="center" wrapText="1"/>
    </xf>
    <xf numFmtId="0" fontId="13" fillId="0" borderId="0" xfId="1">
      <alignment vertical="center"/>
    </xf>
    <xf numFmtId="0" fontId="15" fillId="0" borderId="6"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15" fillId="0" borderId="6" xfId="1" applyFont="1" applyFill="1" applyBorder="1" applyAlignment="1" applyProtection="1">
      <alignment horizontal="left" vertical="center"/>
    </xf>
    <xf numFmtId="0" fontId="8" fillId="0" borderId="1" xfId="1" applyFont="1" applyFill="1" applyBorder="1" applyAlignment="1" applyProtection="1">
      <alignment horizontal="center" vertical="center" wrapText="1"/>
    </xf>
    <xf numFmtId="0" fontId="8" fillId="0" borderId="6" xfId="1" applyFont="1" applyFill="1" applyBorder="1" applyAlignment="1" applyProtection="1">
      <alignment vertical="center"/>
    </xf>
    <xf numFmtId="177" fontId="8" fillId="0" borderId="1" xfId="1" applyNumberFormat="1" applyFont="1" applyFill="1" applyBorder="1" applyAlignment="1" applyProtection="1">
      <alignment horizontal="center" vertical="center" wrapText="1"/>
    </xf>
    <xf numFmtId="0" fontId="15" fillId="0" borderId="6" xfId="1" applyFont="1" applyFill="1" applyBorder="1" applyAlignment="1" applyProtection="1">
      <alignment vertical="center"/>
    </xf>
    <xf numFmtId="10" fontId="8" fillId="0" borderId="1" xfId="1" applyNumberFormat="1" applyFont="1" applyFill="1" applyBorder="1" applyAlignment="1" applyProtection="1">
      <alignment horizontal="center" vertical="center" wrapText="1"/>
    </xf>
    <xf numFmtId="0" fontId="13" fillId="0" borderId="6" xfId="1" applyFont="1" applyFill="1" applyBorder="1" applyAlignment="1" applyProtection="1">
      <alignment vertical="center"/>
    </xf>
    <xf numFmtId="176" fontId="8" fillId="0" borderId="1" xfId="1" applyNumberFormat="1" applyFont="1" applyFill="1" applyBorder="1" applyAlignment="1" applyProtection="1">
      <alignment horizontal="center" vertical="center" wrapText="1"/>
    </xf>
    <xf numFmtId="178" fontId="7" fillId="0" borderId="1" xfId="1" applyNumberFormat="1" applyFont="1" applyFill="1" applyBorder="1" applyAlignment="1" applyProtection="1">
      <alignment horizontal="right" vertical="center" wrapText="1"/>
    </xf>
    <xf numFmtId="178" fontId="8" fillId="0" borderId="1" xfId="1" applyNumberFormat="1" applyFont="1" applyFill="1" applyBorder="1" applyAlignment="1" applyProtection="1">
      <alignment horizontal="right" vertical="center" wrapText="1"/>
    </xf>
    <xf numFmtId="0" fontId="8" fillId="0" borderId="6" xfId="1" applyFont="1" applyFill="1" applyBorder="1" applyAlignment="1" applyProtection="1">
      <alignment horizontal="left" vertical="center"/>
    </xf>
    <xf numFmtId="176" fontId="8" fillId="0" borderId="1" xfId="1" applyNumberFormat="1" applyFont="1" applyFill="1" applyBorder="1" applyAlignment="1" applyProtection="1">
      <alignment horizontal="right" vertical="center" wrapText="1"/>
    </xf>
    <xf numFmtId="0" fontId="19" fillId="0" borderId="0" xfId="1" applyFont="1">
      <alignment vertical="center"/>
    </xf>
    <xf numFmtId="0" fontId="8" fillId="0" borderId="0" xfId="1" applyFont="1" applyAlignment="1">
      <alignment horizontal="center" vertical="center"/>
    </xf>
    <xf numFmtId="0" fontId="7" fillId="2" borderId="1" xfId="1" applyFont="1" applyFill="1" applyBorder="1" applyAlignment="1" applyProtection="1">
      <alignment horizontal="center" vertical="center"/>
    </xf>
    <xf numFmtId="0" fontId="17" fillId="2" borderId="1" xfId="1" applyFont="1" applyFill="1" applyBorder="1" applyAlignment="1" applyProtection="1">
      <alignment horizontal="center" vertical="center"/>
    </xf>
    <xf numFmtId="0" fontId="21" fillId="2" borderId="1" xfId="1" applyFont="1" applyFill="1" applyBorder="1" applyAlignment="1" applyProtection="1">
      <alignment horizontal="center" vertical="center"/>
    </xf>
    <xf numFmtId="0" fontId="7" fillId="2" borderId="1" xfId="1" applyFont="1" applyFill="1" applyBorder="1" applyAlignment="1" applyProtection="1">
      <alignment vertical="center"/>
    </xf>
    <xf numFmtId="0" fontId="7" fillId="2" borderId="1" xfId="1" applyFont="1" applyFill="1" applyBorder="1">
      <alignment vertical="center"/>
    </xf>
    <xf numFmtId="0" fontId="8" fillId="2" borderId="1" xfId="1" applyFont="1" applyFill="1" applyBorder="1" applyAlignment="1" applyProtection="1">
      <alignment horizontal="left" vertical="center" indent="1"/>
    </xf>
    <xf numFmtId="49" fontId="22" fillId="2" borderId="1" xfId="1" applyNumberFormat="1" applyFont="1" applyFill="1" applyBorder="1" applyAlignment="1" applyProtection="1">
      <alignment horizontal="left" vertical="center"/>
    </xf>
    <xf numFmtId="0" fontId="8" fillId="0" borderId="1" xfId="1" applyFont="1" applyFill="1" applyBorder="1">
      <alignment vertical="center"/>
    </xf>
    <xf numFmtId="49" fontId="23" fillId="2" borderId="1" xfId="1" applyNumberFormat="1" applyFont="1" applyFill="1" applyBorder="1" applyAlignment="1" applyProtection="1">
      <alignment horizontal="left" vertical="center"/>
    </xf>
    <xf numFmtId="0" fontId="7" fillId="2" borderId="1" xfId="1" applyFont="1" applyFill="1" applyBorder="1" applyAlignment="1" applyProtection="1">
      <alignment horizontal="left" vertical="center" wrapText="1"/>
    </xf>
    <xf numFmtId="0" fontId="24" fillId="0" borderId="0" xfId="2" applyFont="1" applyFill="1" applyAlignment="1" applyProtection="1">
      <alignment vertical="center" wrapText="1"/>
    </xf>
    <xf numFmtId="0" fontId="13" fillId="0" borderId="0" xfId="2">
      <alignment vertical="center"/>
    </xf>
    <xf numFmtId="0" fontId="25" fillId="0" borderId="5" xfId="2" applyFont="1" applyFill="1" applyBorder="1" applyAlignment="1" applyProtection="1">
      <alignment vertical="center" wrapText="1"/>
    </xf>
    <xf numFmtId="0" fontId="25" fillId="0" borderId="5" xfId="2" applyFont="1" applyFill="1" applyBorder="1" applyAlignment="1" applyProtection="1">
      <alignment horizontal="right" vertical="center" wrapText="1"/>
    </xf>
    <xf numFmtId="0" fontId="15" fillId="0" borderId="1" xfId="2" applyFont="1" applyFill="1" applyBorder="1" applyAlignment="1" applyProtection="1">
      <alignment horizontal="center" vertical="center" wrapText="1"/>
    </xf>
    <xf numFmtId="0" fontId="26" fillId="0" borderId="0" xfId="0" applyFont="1">
      <alignment vertical="center"/>
    </xf>
    <xf numFmtId="0" fontId="15" fillId="0" borderId="1" xfId="2" applyFont="1" applyFill="1" applyBorder="1" applyAlignment="1" applyProtection="1">
      <alignment vertical="center" wrapText="1"/>
    </xf>
    <xf numFmtId="178" fontId="15" fillId="0" borderId="1" xfId="2" applyNumberFormat="1" applyFont="1" applyFill="1" applyBorder="1" applyAlignment="1" applyProtection="1">
      <alignment horizontal="right" vertical="center" wrapText="1"/>
    </xf>
    <xf numFmtId="0" fontId="13" fillId="0" borderId="1" xfId="2" applyFont="1" applyFill="1" applyBorder="1" applyAlignment="1" applyProtection="1">
      <alignment horizontal="left" vertical="center" wrapText="1"/>
    </xf>
    <xf numFmtId="178" fontId="13" fillId="0" borderId="1" xfId="2" applyNumberFormat="1" applyFont="1" applyFill="1" applyBorder="1" applyAlignment="1" applyProtection="1">
      <alignment horizontal="right" vertical="center" wrapText="1"/>
    </xf>
    <xf numFmtId="178" fontId="13" fillId="0" borderId="1" xfId="2" applyNumberFormat="1" applyFont="1" applyFill="1" applyBorder="1" applyAlignment="1" applyProtection="1">
      <alignment vertical="center" wrapText="1"/>
    </xf>
    <xf numFmtId="0" fontId="27" fillId="0" borderId="1" xfId="2" applyFont="1" applyFill="1" applyBorder="1" applyAlignment="1" applyProtection="1">
      <alignment horizontal="left" vertical="center" wrapText="1"/>
    </xf>
    <xf numFmtId="0" fontId="13" fillId="0" borderId="1" xfId="2" applyFont="1" applyFill="1" applyBorder="1" applyAlignment="1" applyProtection="1">
      <alignment vertical="center"/>
    </xf>
    <xf numFmtId="178" fontId="13" fillId="0" borderId="1" xfId="2" applyNumberFormat="1" applyFont="1" applyFill="1" applyBorder="1" applyAlignment="1" applyProtection="1">
      <alignment vertical="center"/>
    </xf>
    <xf numFmtId="0" fontId="15" fillId="0" borderId="1" xfId="2" applyFont="1" applyFill="1" applyBorder="1" applyAlignment="1" applyProtection="1">
      <alignment vertical="center"/>
    </xf>
    <xf numFmtId="0" fontId="13" fillId="0" borderId="1" xfId="2" applyFont="1" applyFill="1" applyBorder="1" applyAlignment="1" applyProtection="1">
      <alignment horizontal="right" vertical="center" wrapText="1"/>
    </xf>
    <xf numFmtId="0" fontId="13" fillId="0" borderId="1" xfId="2" applyFont="1" applyFill="1" applyBorder="1" applyAlignment="1" applyProtection="1">
      <alignment horizontal="left" vertical="center" indent="1"/>
    </xf>
    <xf numFmtId="0" fontId="0" fillId="0" borderId="0" xfId="0" applyAlignment="1">
      <alignment horizontal="center" vertical="center"/>
    </xf>
    <xf numFmtId="0" fontId="19" fillId="0" borderId="0" xfId="2" applyFont="1">
      <alignment vertical="center"/>
    </xf>
    <xf numFmtId="0" fontId="13" fillId="0" borderId="0" xfId="2" applyAlignment="1">
      <alignment horizontal="center" vertical="center"/>
    </xf>
    <xf numFmtId="0" fontId="23" fillId="0" borderId="1" xfId="2" applyFont="1" applyFill="1" applyBorder="1" applyAlignment="1">
      <alignment horizontal="center" vertical="center" wrapText="1"/>
    </xf>
    <xf numFmtId="0" fontId="7" fillId="0" borderId="1" xfId="2" applyFont="1" applyBorder="1" applyAlignment="1">
      <alignment horizontal="center" vertical="center"/>
    </xf>
    <xf numFmtId="0" fontId="23" fillId="0" borderId="1" xfId="2" applyFont="1" applyFill="1" applyBorder="1" applyAlignment="1">
      <alignment horizontal="left" vertical="center" wrapText="1"/>
    </xf>
    <xf numFmtId="0" fontId="22" fillId="0" borderId="1" xfId="2" applyFont="1" applyFill="1" applyBorder="1" applyAlignment="1">
      <alignment horizontal="left" vertical="center" wrapText="1"/>
    </xf>
    <xf numFmtId="0" fontId="22" fillId="0" borderId="1" xfId="2" applyFont="1" applyFill="1" applyBorder="1" applyAlignment="1">
      <alignment horizontal="center" vertical="center" wrapText="1"/>
    </xf>
    <xf numFmtId="0" fontId="8" fillId="0" borderId="1" xfId="2" applyFont="1" applyBorder="1" applyAlignment="1">
      <alignment horizontal="center" vertical="center"/>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177" fontId="8" fillId="0" borderId="1" xfId="2" applyNumberFormat="1" applyFont="1" applyBorder="1" applyAlignment="1">
      <alignment horizontal="center" vertical="center"/>
    </xf>
    <xf numFmtId="0" fontId="7" fillId="0" borderId="1" xfId="2" applyFont="1" applyBorder="1" applyAlignment="1">
      <alignment horizontal="left" vertical="center"/>
    </xf>
    <xf numFmtId="177" fontId="7" fillId="0" borderId="1" xfId="2" applyNumberFormat="1" applyFont="1" applyBorder="1" applyAlignment="1">
      <alignment horizontal="center" vertical="center"/>
    </xf>
    <xf numFmtId="0" fontId="14" fillId="0" borderId="1" xfId="2" applyFont="1" applyFill="1" applyBorder="1" applyAlignment="1">
      <alignment horizontal="left" vertical="center"/>
    </xf>
    <xf numFmtId="0" fontId="8" fillId="0" borderId="1" xfId="2" applyFont="1" applyFill="1" applyBorder="1" applyAlignment="1" applyProtection="1">
      <alignment horizontal="left" vertical="center" indent="1"/>
    </xf>
    <xf numFmtId="0" fontId="8" fillId="0" borderId="1" xfId="2" applyFont="1" applyFill="1" applyBorder="1" applyAlignment="1" applyProtection="1">
      <alignment horizontal="center" vertical="center"/>
    </xf>
    <xf numFmtId="0" fontId="8" fillId="0" borderId="1" xfId="2" applyFont="1" applyFill="1" applyBorder="1" applyAlignment="1" applyProtection="1">
      <alignment horizontal="left" vertical="center" indent="2"/>
    </xf>
    <xf numFmtId="176" fontId="9" fillId="0" borderId="1" xfId="2" applyNumberFormat="1" applyFont="1" applyFill="1" applyBorder="1" applyAlignment="1">
      <alignment horizontal="left" vertical="center"/>
    </xf>
    <xf numFmtId="176" fontId="18" fillId="0" borderId="1" xfId="2" applyNumberFormat="1" applyFont="1" applyFill="1" applyBorder="1" applyAlignment="1">
      <alignment horizontal="left" vertical="center"/>
    </xf>
    <xf numFmtId="176" fontId="18" fillId="0" borderId="1" xfId="2" applyNumberFormat="1" applyFont="1" applyFill="1" applyBorder="1" applyAlignment="1">
      <alignment horizontal="center" vertical="center"/>
    </xf>
    <xf numFmtId="0" fontId="7" fillId="0" borderId="1" xfId="2" applyFont="1" applyFill="1" applyBorder="1" applyAlignment="1" applyProtection="1">
      <alignment horizontal="center" vertical="center" wrapText="1"/>
    </xf>
    <xf numFmtId="49" fontId="9" fillId="0" borderId="1" xfId="2" applyNumberFormat="1" applyFont="1" applyFill="1" applyBorder="1" applyAlignment="1" applyProtection="1">
      <alignment horizontal="left" vertical="center"/>
    </xf>
    <xf numFmtId="49" fontId="9" fillId="0" borderId="1" xfId="2" applyNumberFormat="1" applyFont="1" applyFill="1" applyBorder="1" applyAlignment="1" applyProtection="1">
      <alignment horizontal="center" vertical="center"/>
    </xf>
    <xf numFmtId="0" fontId="19" fillId="0" borderId="0" xfId="1" applyFont="1" applyBorder="1" applyAlignment="1">
      <alignment horizontal="justify" wrapText="1"/>
    </xf>
    <xf numFmtId="0" fontId="13" fillId="0" borderId="7" xfId="1" applyFont="1" applyBorder="1" applyAlignment="1">
      <alignment horizontal="justify" wrapText="1"/>
    </xf>
    <xf numFmtId="0" fontId="29" fillId="0" borderId="7" xfId="1" applyFont="1" applyBorder="1" applyAlignment="1">
      <alignment horizontal="justify" wrapText="1"/>
    </xf>
    <xf numFmtId="14" fontId="29" fillId="0" borderId="8" xfId="1" applyNumberFormat="1" applyFont="1" applyBorder="1" applyAlignment="1">
      <alignment horizontal="justify" wrapText="1"/>
    </xf>
    <xf numFmtId="0" fontId="15" fillId="0" borderId="1" xfId="1" applyFont="1" applyBorder="1">
      <alignment vertical="center"/>
    </xf>
    <xf numFmtId="0" fontId="30" fillId="0" borderId="1" xfId="0" applyFont="1" applyBorder="1">
      <alignment vertical="center"/>
    </xf>
    <xf numFmtId="177" fontId="0" fillId="0" borderId="1" xfId="0" applyNumberFormat="1" applyBorder="1">
      <alignment vertical="center"/>
    </xf>
    <xf numFmtId="0" fontId="33" fillId="0" borderId="1" xfId="1" applyFont="1" applyFill="1" applyBorder="1" applyAlignment="1">
      <alignment horizontal="center" vertical="center" wrapText="1"/>
    </xf>
    <xf numFmtId="0" fontId="8" fillId="0" borderId="1" xfId="2" applyFont="1" applyBorder="1" applyAlignment="1">
      <alignment horizontal="center" vertical="center" wrapText="1"/>
    </xf>
    <xf numFmtId="177" fontId="14" fillId="0" borderId="2" xfId="1" applyNumberFormat="1" applyFont="1" applyFill="1" applyBorder="1" applyAlignment="1">
      <alignment horizontal="center" vertical="center" wrapText="1"/>
    </xf>
    <xf numFmtId="0" fontId="17" fillId="0" borderId="6" xfId="1" applyFont="1" applyFill="1" applyBorder="1" applyAlignment="1">
      <alignment horizontal="center" vertical="center" wrapText="1"/>
    </xf>
    <xf numFmtId="177" fontId="14" fillId="0" borderId="10" xfId="1" applyNumberFormat="1" applyFont="1" applyFill="1" applyBorder="1" applyAlignment="1">
      <alignment horizontal="center" vertical="center" wrapText="1"/>
    </xf>
    <xf numFmtId="0" fontId="8" fillId="0" borderId="6" xfId="1" applyFont="1" applyFill="1" applyBorder="1" applyAlignment="1">
      <alignment horizontal="center" vertical="center"/>
    </xf>
    <xf numFmtId="0" fontId="16" fillId="0" borderId="1" xfId="0" applyFont="1" applyBorder="1">
      <alignment vertical="center"/>
    </xf>
    <xf numFmtId="0" fontId="33" fillId="0" borderId="1" xfId="2" applyFont="1" applyBorder="1" applyAlignment="1">
      <alignment horizontal="justify" vertical="center" wrapText="1"/>
    </xf>
    <xf numFmtId="0" fontId="18" fillId="0" borderId="1" xfId="2" applyFont="1" applyBorder="1" applyAlignment="1">
      <alignment horizontal="justify" vertical="center" wrapText="1"/>
    </xf>
    <xf numFmtId="0" fontId="40" fillId="0" borderId="1" xfId="2" applyFont="1" applyBorder="1" applyAlignment="1">
      <alignment horizontal="justify" vertical="center" wrapText="1"/>
    </xf>
    <xf numFmtId="0" fontId="13" fillId="0" borderId="1" xfId="2" applyFont="1" applyBorder="1" applyAlignment="1">
      <alignment vertical="center" wrapText="1"/>
    </xf>
    <xf numFmtId="176" fontId="0" fillId="0" borderId="0" xfId="0" applyNumberFormat="1">
      <alignment vertical="center"/>
    </xf>
    <xf numFmtId="0" fontId="13" fillId="0" borderId="3" xfId="2" applyFont="1" applyFill="1" applyBorder="1" applyAlignment="1">
      <alignment horizontal="left" vertical="center"/>
    </xf>
    <xf numFmtId="176" fontId="0" fillId="0" borderId="1" xfId="0" applyNumberFormat="1" applyBorder="1">
      <alignment vertical="center"/>
    </xf>
    <xf numFmtId="9" fontId="0" fillId="0" borderId="1" xfId="0" applyNumberFormat="1" applyBorder="1">
      <alignment vertical="center"/>
    </xf>
    <xf numFmtId="10" fontId="0" fillId="0" borderId="1" xfId="0" applyNumberFormat="1" applyBorder="1">
      <alignment vertical="center"/>
    </xf>
    <xf numFmtId="9" fontId="30" fillId="0" borderId="1" xfId="0" applyNumberFormat="1" applyFont="1" applyBorder="1">
      <alignment vertical="center"/>
    </xf>
    <xf numFmtId="179" fontId="8" fillId="0" borderId="1" xfId="2" applyNumberFormat="1" applyFont="1" applyBorder="1" applyAlignment="1">
      <alignment vertical="center" wrapText="1"/>
    </xf>
    <xf numFmtId="180" fontId="8" fillId="0" borderId="1" xfId="2" applyNumberFormat="1" applyFont="1" applyBorder="1" applyAlignment="1">
      <alignment vertical="center" wrapText="1"/>
    </xf>
    <xf numFmtId="178" fontId="15" fillId="0" borderId="1" xfId="2" applyNumberFormat="1" applyFont="1" applyFill="1" applyBorder="1" applyAlignment="1" applyProtection="1">
      <alignment vertical="center"/>
    </xf>
    <xf numFmtId="179" fontId="13" fillId="0" borderId="1" xfId="2" applyNumberFormat="1" applyFont="1" applyFill="1" applyBorder="1" applyAlignment="1" applyProtection="1">
      <alignment horizontal="right" vertical="center" wrapText="1"/>
    </xf>
    <xf numFmtId="179" fontId="15" fillId="0" borderId="1" xfId="2" applyNumberFormat="1" applyFont="1" applyFill="1" applyBorder="1" applyAlignment="1" applyProtection="1">
      <alignment horizontal="right" vertical="center"/>
    </xf>
    <xf numFmtId="0" fontId="30" fillId="0" borderId="1" xfId="0" applyFont="1" applyFill="1" applyBorder="1">
      <alignment vertical="center"/>
    </xf>
    <xf numFmtId="0" fontId="12" fillId="0" borderId="0" xfId="1" applyFont="1" applyFill="1" applyAlignment="1" applyProtection="1">
      <alignment horizontal="center" vertical="center"/>
    </xf>
    <xf numFmtId="0" fontId="28" fillId="0" borderId="0" xfId="1" applyFont="1" applyAlignment="1">
      <alignment horizontal="center" vertical="center" wrapText="1"/>
    </xf>
    <xf numFmtId="0" fontId="12" fillId="0" borderId="0" xfId="2" applyFont="1" applyFill="1" applyAlignment="1" applyProtection="1">
      <alignment horizontal="center" vertical="center"/>
    </xf>
    <xf numFmtId="0" fontId="15" fillId="0" borderId="0" xfId="2" applyFont="1" applyFill="1" applyAlignment="1" applyProtection="1">
      <alignment horizontal="left" vertical="center"/>
    </xf>
    <xf numFmtId="0" fontId="7" fillId="0" borderId="0" xfId="2" applyFont="1" applyFill="1" applyAlignment="1" applyProtection="1">
      <alignment horizontal="center" vertical="center"/>
    </xf>
    <xf numFmtId="0" fontId="7" fillId="0" borderId="0" xfId="2" applyFont="1" applyFill="1" applyAlignment="1" applyProtection="1">
      <alignment horizontal="left" vertical="center"/>
    </xf>
    <xf numFmtId="0" fontId="8" fillId="0" borderId="2" xfId="2" applyFont="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1" xfId="2" applyFont="1" applyBorder="1" applyAlignment="1">
      <alignment horizontal="center" vertical="center" wrapText="1"/>
    </xf>
    <xf numFmtId="0" fontId="12" fillId="0" borderId="0" xfId="2" applyFont="1" applyFill="1" applyAlignment="1" applyProtection="1">
      <alignment horizontal="center" vertical="center" wrapText="1"/>
    </xf>
    <xf numFmtId="0" fontId="12" fillId="0" borderId="0" xfId="1" applyFont="1" applyAlignment="1">
      <alignment horizontal="center" vertical="center"/>
    </xf>
    <xf numFmtId="0" fontId="12" fillId="0" borderId="0" xfId="1" applyFont="1" applyFill="1" applyAlignment="1" applyProtection="1">
      <alignment horizontal="center" vertical="center" wrapText="1"/>
    </xf>
    <xf numFmtId="0" fontId="20" fillId="0" borderId="5" xfId="1" applyFont="1" applyFill="1" applyBorder="1" applyAlignment="1" applyProtection="1">
      <alignment horizontal="left" vertical="center" wrapText="1"/>
    </xf>
    <xf numFmtId="181" fontId="8" fillId="0" borderId="6" xfId="1" applyNumberFormat="1" applyFont="1" applyFill="1" applyBorder="1" applyAlignment="1" applyProtection="1">
      <alignment horizontal="center" vertical="center" wrapText="1"/>
    </xf>
    <xf numFmtId="181" fontId="8" fillId="0" borderId="16" xfId="1" applyNumberFormat="1" applyFont="1" applyFill="1" applyBorder="1" applyAlignment="1" applyProtection="1">
      <alignment horizontal="center" vertical="center" wrapText="1"/>
    </xf>
    <xf numFmtId="181" fontId="8" fillId="0" borderId="17" xfId="1" applyNumberFormat="1" applyFont="1" applyFill="1" applyBorder="1" applyAlignment="1" applyProtection="1">
      <alignment horizontal="center" vertical="center" wrapText="1"/>
    </xf>
    <xf numFmtId="181" fontId="0" fillId="0" borderId="6" xfId="0" applyNumberFormat="1" applyBorder="1" applyAlignment="1">
      <alignment horizontal="center" vertical="center"/>
    </xf>
    <xf numFmtId="181" fontId="0" fillId="0" borderId="16" xfId="0" applyNumberFormat="1" applyBorder="1" applyAlignment="1">
      <alignment horizontal="center" vertical="center"/>
    </xf>
    <xf numFmtId="181" fontId="0" fillId="0" borderId="17" xfId="0" applyNumberFormat="1" applyBorder="1" applyAlignment="1">
      <alignment horizontal="center" vertical="center"/>
    </xf>
    <xf numFmtId="0" fontId="39" fillId="0" borderId="1" xfId="0" applyFont="1" applyBorder="1" applyAlignment="1">
      <alignment horizontal="center" vertical="center"/>
    </xf>
    <xf numFmtId="0" fontId="0" fillId="0" borderId="1" xfId="0" applyBorder="1" applyAlignment="1">
      <alignment horizontal="center" vertical="center"/>
    </xf>
    <xf numFmtId="177" fontId="8" fillId="0" borderId="1" xfId="1"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12" fillId="0" borderId="0" xfId="1" applyFont="1" applyFill="1" applyBorder="1" applyAlignment="1">
      <alignment horizontal="center" vertical="center"/>
    </xf>
    <xf numFmtId="0" fontId="5" fillId="0" borderId="0" xfId="2" applyFont="1" applyAlignment="1">
      <alignment horizontal="center" vertical="center" wrapText="1"/>
    </xf>
    <xf numFmtId="0" fontId="18"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9" xfId="2" applyFont="1" applyBorder="1" applyAlignment="1">
      <alignment horizontal="center" vertical="center" wrapText="1"/>
    </xf>
    <xf numFmtId="0" fontId="9" fillId="0" borderId="0"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0"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15" xfId="2" applyFont="1" applyBorder="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37089;&#31041;&#23398;&#26657;&#65289;&#31185;&#30446;&#20313;&#39069;&#349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665;&#21150;&#25945;&#32946;&#22522;&#30784;&#34920;&#26684;(&#37089;&#31041;&#23398;&#266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科目余额表"/>
    </sheetNames>
    <sheetDataSet>
      <sheetData sheetId="0">
        <row r="179">
          <cell r="H179">
            <v>50000</v>
          </cell>
        </row>
        <row r="182">
          <cell r="H182">
            <v>17024.46</v>
          </cell>
        </row>
        <row r="183">
          <cell r="H183">
            <v>-4986.66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基本情况表"/>
      <sheetName val="收入情况表OK"/>
      <sheetName val="教育成本归集表"/>
      <sheetName val="教育培养成本核定表"/>
      <sheetName val="学生人数核定表"/>
      <sheetName val="教职工人数核定表"/>
      <sheetName val="薪酬核定表"/>
      <sheetName val="固定资产折旧计算表"/>
      <sheetName val="承若书"/>
    </sheetNames>
    <sheetDataSet>
      <sheetData sheetId="0"/>
      <sheetData sheetId="1">
        <row r="10">
          <cell r="B10">
            <v>465</v>
          </cell>
        </row>
        <row r="11">
          <cell r="B11">
            <v>144</v>
          </cell>
        </row>
        <row r="18">
          <cell r="B18">
            <v>12</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B4" sqref="B4"/>
    </sheetView>
  </sheetViews>
  <sheetFormatPr defaultColWidth="9" defaultRowHeight="13.5"/>
  <cols>
    <col min="1" max="1" width="27.125" customWidth="1"/>
    <col min="2" max="2" width="35.75" customWidth="1"/>
  </cols>
  <sheetData>
    <row r="1" spans="1:2" ht="25.5">
      <c r="A1" s="143" t="s">
        <v>0</v>
      </c>
      <c r="B1" s="143"/>
    </row>
    <row r="2" spans="1:2" ht="20.25">
      <c r="A2" s="144" t="s">
        <v>1</v>
      </c>
      <c r="B2" s="144"/>
    </row>
    <row r="3" spans="1:2" ht="21">
      <c r="A3" s="113" t="s">
        <v>2</v>
      </c>
      <c r="B3" s="114" t="s">
        <v>3</v>
      </c>
    </row>
    <row r="4" spans="1:2" ht="20.25">
      <c r="A4" s="113" t="s">
        <v>4</v>
      </c>
      <c r="B4" s="114" t="s">
        <v>5</v>
      </c>
    </row>
    <row r="5" spans="1:2" ht="20.25">
      <c r="A5" s="113" t="s">
        <v>6</v>
      </c>
      <c r="B5" s="114" t="s">
        <v>7</v>
      </c>
    </row>
    <row r="6" spans="1:2" ht="21">
      <c r="A6" s="113" t="s">
        <v>8</v>
      </c>
      <c r="B6" s="114" t="s">
        <v>9</v>
      </c>
    </row>
    <row r="7" spans="1:2" ht="30">
      <c r="A7" s="113" t="s">
        <v>10</v>
      </c>
      <c r="B7" s="114" t="s">
        <v>11</v>
      </c>
    </row>
    <row r="8" spans="1:2" ht="20.25">
      <c r="A8" s="113" t="s">
        <v>12</v>
      </c>
      <c r="B8" s="115">
        <v>426100</v>
      </c>
    </row>
    <row r="9" spans="1:2" ht="42" customHeight="1">
      <c r="A9" s="113" t="s">
        <v>13</v>
      </c>
      <c r="B9" s="115" t="s">
        <v>14</v>
      </c>
    </row>
    <row r="10" spans="1:2" ht="45.75" customHeight="1">
      <c r="A10" s="113" t="s">
        <v>15</v>
      </c>
      <c r="B10" s="116">
        <v>44754</v>
      </c>
    </row>
  </sheetData>
  <mergeCells count="2">
    <mergeCell ref="A1:B1"/>
    <mergeCell ref="A2:B2"/>
  </mergeCells>
  <phoneticPr fontId="38"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A13" sqref="A13"/>
    </sheetView>
  </sheetViews>
  <sheetFormatPr defaultColWidth="9" defaultRowHeight="13.5"/>
  <cols>
    <col min="1" max="1" width="83.625" customWidth="1"/>
  </cols>
  <sheetData>
    <row r="1" spans="1:1" ht="74.25" customHeight="1">
      <c r="A1" s="1" t="s">
        <v>226</v>
      </c>
    </row>
    <row r="2" spans="1:1" ht="59.25">
      <c r="A2" s="2" t="s">
        <v>227</v>
      </c>
    </row>
    <row r="3" spans="1:1" ht="19.5">
      <c r="A3" s="2" t="s">
        <v>228</v>
      </c>
    </row>
    <row r="4" spans="1:1" ht="39">
      <c r="A4" s="2" t="s">
        <v>229</v>
      </c>
    </row>
    <row r="5" spans="1:1" ht="19.5">
      <c r="A5" s="3"/>
    </row>
    <row r="9" spans="1:1" ht="19.5">
      <c r="A9" s="4"/>
    </row>
    <row r="10" spans="1:1" ht="19.5">
      <c r="A10" s="4"/>
    </row>
    <row r="11" spans="1:1" ht="36.75" customHeight="1">
      <c r="A11" s="4" t="s">
        <v>230</v>
      </c>
    </row>
    <row r="12" spans="1:1" ht="32.25" customHeight="1">
      <c r="A12" s="2" t="s">
        <v>231</v>
      </c>
    </row>
    <row r="13" spans="1:1" ht="55.5" customHeight="1">
      <c r="A13" s="5" t="s">
        <v>232</v>
      </c>
    </row>
  </sheetData>
  <phoneticPr fontId="38"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G34"/>
  <sheetViews>
    <sheetView workbookViewId="0">
      <pane xSplit="6" ySplit="4" topLeftCell="G17" activePane="bottomRight" state="frozen"/>
      <selection pane="topRight"/>
      <selection pane="bottomLeft"/>
      <selection pane="bottomRight" activeCell="B10" sqref="B10"/>
    </sheetView>
  </sheetViews>
  <sheetFormatPr defaultColWidth="9" defaultRowHeight="13.5"/>
  <cols>
    <col min="1" max="1" width="26.5" customWidth="1"/>
    <col min="2" max="2" width="17" style="89" customWidth="1"/>
    <col min="3" max="3" width="16.75" customWidth="1"/>
    <col min="4" max="4" width="17" customWidth="1"/>
    <col min="5" max="5" width="11.125" customWidth="1"/>
  </cols>
  <sheetData>
    <row r="1" spans="1:7" ht="20.25">
      <c r="A1" s="90" t="s">
        <v>16</v>
      </c>
      <c r="B1" s="91"/>
      <c r="C1" s="73"/>
    </row>
    <row r="2" spans="1:7" ht="25.5">
      <c r="A2" s="145" t="s">
        <v>291</v>
      </c>
      <c r="B2" s="145"/>
      <c r="C2" s="145"/>
      <c r="D2" s="145"/>
      <c r="E2" s="145"/>
    </row>
    <row r="3" spans="1:7" ht="15.75">
      <c r="A3" s="146" t="s">
        <v>17</v>
      </c>
      <c r="B3" s="147"/>
      <c r="C3" s="148"/>
    </row>
    <row r="4" spans="1:7" ht="19.5" customHeight="1">
      <c r="A4" s="92" t="s">
        <v>18</v>
      </c>
      <c r="B4" s="92" t="s">
        <v>19</v>
      </c>
      <c r="C4" s="93" t="s">
        <v>20</v>
      </c>
      <c r="D4" s="93" t="s">
        <v>21</v>
      </c>
      <c r="E4" s="93" t="s">
        <v>22</v>
      </c>
      <c r="G4" s="77"/>
    </row>
    <row r="5" spans="1:7" ht="19.5" customHeight="1">
      <c r="A5" s="94" t="s">
        <v>23</v>
      </c>
      <c r="B5" s="92">
        <f>SUM(B6:B8)</f>
        <v>16</v>
      </c>
      <c r="C5" s="92">
        <f>SUM(C6:C8)</f>
        <v>50</v>
      </c>
      <c r="D5" s="92">
        <f>SUM(D6:D8)</f>
        <v>74</v>
      </c>
      <c r="E5" s="149" t="s">
        <v>24</v>
      </c>
    </row>
    <row r="6" spans="1:7" ht="19.5" customHeight="1">
      <c r="A6" s="95" t="s">
        <v>25</v>
      </c>
      <c r="B6" s="96">
        <v>13</v>
      </c>
      <c r="C6" s="97">
        <f>15+22</f>
        <v>37</v>
      </c>
      <c r="D6" s="97">
        <f>24+23</f>
        <v>47</v>
      </c>
      <c r="E6" s="150"/>
    </row>
    <row r="7" spans="1:7" ht="19.5" customHeight="1">
      <c r="A7" s="95" t="s">
        <v>26</v>
      </c>
      <c r="B7" s="96">
        <v>3</v>
      </c>
      <c r="C7" s="97">
        <f>3+10</f>
        <v>13</v>
      </c>
      <c r="D7" s="97">
        <f>10+17</f>
        <v>27</v>
      </c>
      <c r="E7" s="150"/>
    </row>
    <row r="8" spans="1:7" ht="19.5" customHeight="1">
      <c r="A8" s="98" t="s">
        <v>27</v>
      </c>
      <c r="B8" s="99"/>
      <c r="C8" s="97"/>
      <c r="D8" s="97"/>
      <c r="E8" s="150"/>
    </row>
    <row r="9" spans="1:7" ht="19.5" customHeight="1">
      <c r="A9" s="94" t="s">
        <v>28</v>
      </c>
      <c r="B9" s="92">
        <f>SUM(B10:B12)</f>
        <v>609</v>
      </c>
      <c r="C9" s="92">
        <f>SUM(C10:C12)</f>
        <v>2116</v>
      </c>
      <c r="D9" s="92">
        <f>SUM(D10:D12)</f>
        <v>3103</v>
      </c>
      <c r="E9" s="150"/>
    </row>
    <row r="10" spans="1:7" ht="19.5" customHeight="1">
      <c r="A10" s="95" t="s">
        <v>25</v>
      </c>
      <c r="B10" s="96">
        <v>465</v>
      </c>
      <c r="C10" s="100">
        <f>618+914</f>
        <v>1532</v>
      </c>
      <c r="D10" s="100">
        <f>967+929</f>
        <v>1896</v>
      </c>
      <c r="E10" s="150"/>
    </row>
    <row r="11" spans="1:7" ht="19.5" customHeight="1">
      <c r="A11" s="95" t="s">
        <v>26</v>
      </c>
      <c r="B11" s="96">
        <v>144</v>
      </c>
      <c r="C11" s="100">
        <f>156+428</f>
        <v>584</v>
      </c>
      <c r="D11" s="100">
        <f>443+764</f>
        <v>1207</v>
      </c>
      <c r="E11" s="150"/>
    </row>
    <row r="12" spans="1:7" ht="19.5" customHeight="1">
      <c r="A12" s="98" t="s">
        <v>29</v>
      </c>
      <c r="B12" s="99"/>
      <c r="C12" s="100"/>
      <c r="D12" s="100"/>
      <c r="E12" s="150"/>
    </row>
    <row r="13" spans="1:7" ht="19.5" customHeight="1">
      <c r="A13" s="101" t="s">
        <v>30</v>
      </c>
      <c r="B13" s="102"/>
      <c r="C13" s="102"/>
      <c r="D13" s="102"/>
      <c r="E13" s="151"/>
    </row>
    <row r="14" spans="1:7" ht="19.5" customHeight="1">
      <c r="A14" s="103" t="s">
        <v>31</v>
      </c>
      <c r="B14" s="19">
        <f>B15+B24</f>
        <v>107</v>
      </c>
      <c r="C14" s="19">
        <f>C15+C24</f>
        <v>387</v>
      </c>
      <c r="D14" s="19">
        <f>D15+D24</f>
        <v>463</v>
      </c>
      <c r="E14" s="152" t="s">
        <v>32</v>
      </c>
    </row>
    <row r="15" spans="1:7" ht="19.5" customHeight="1">
      <c r="A15" s="104" t="s">
        <v>33</v>
      </c>
      <c r="B15" s="105">
        <f>B16+B21+B22+B23</f>
        <v>94</v>
      </c>
      <c r="C15" s="105">
        <f>C16+C21+C22+C23</f>
        <v>281</v>
      </c>
      <c r="D15" s="105">
        <f>D16+D21+D22+D23</f>
        <v>357</v>
      </c>
      <c r="E15" s="152"/>
    </row>
    <row r="16" spans="1:7" ht="19.5" customHeight="1">
      <c r="A16" s="106" t="s">
        <v>34</v>
      </c>
      <c r="B16" s="105">
        <f>SUM(B17:B19)</f>
        <v>42</v>
      </c>
      <c r="C16" s="105">
        <f>SUM(C17:C19)</f>
        <v>136</v>
      </c>
      <c r="D16" s="105">
        <f>SUM(D17:D19)</f>
        <v>197</v>
      </c>
      <c r="E16" s="152"/>
    </row>
    <row r="17" spans="1:5" ht="19.5" customHeight="1">
      <c r="A17" s="107" t="s">
        <v>35</v>
      </c>
      <c r="B17" s="105">
        <v>30</v>
      </c>
      <c r="C17" s="97">
        <f>37+53</f>
        <v>90</v>
      </c>
      <c r="D17" s="97">
        <f>56+60</f>
        <v>116</v>
      </c>
      <c r="E17" s="152"/>
    </row>
    <row r="18" spans="1:5" ht="19.5" customHeight="1">
      <c r="A18" s="107" t="s">
        <v>36</v>
      </c>
      <c r="B18" s="105">
        <v>12</v>
      </c>
      <c r="C18" s="97">
        <f>13+33</f>
        <v>46</v>
      </c>
      <c r="D18" s="97">
        <f>33+48</f>
        <v>81</v>
      </c>
      <c r="E18" s="152"/>
    </row>
    <row r="19" spans="1:5" ht="19.5" customHeight="1">
      <c r="A19" s="107" t="s">
        <v>37</v>
      </c>
      <c r="B19" s="105"/>
      <c r="C19" s="97"/>
      <c r="D19" s="97"/>
      <c r="E19" s="152"/>
    </row>
    <row r="20" spans="1:5" ht="19.5" customHeight="1">
      <c r="A20" s="108" t="s">
        <v>38</v>
      </c>
      <c r="B20" s="109"/>
      <c r="C20" s="97"/>
      <c r="D20" s="97"/>
      <c r="E20" s="152"/>
    </row>
    <row r="21" spans="1:5" ht="19.5" customHeight="1">
      <c r="A21" s="106" t="s">
        <v>39</v>
      </c>
      <c r="B21" s="105">
        <v>6</v>
      </c>
      <c r="C21" s="97">
        <f>8+10+22*2</f>
        <v>62</v>
      </c>
      <c r="D21" s="97">
        <f>15+11+24*2</f>
        <v>74</v>
      </c>
      <c r="E21" s="152"/>
    </row>
    <row r="22" spans="1:5" ht="19.5" customHeight="1">
      <c r="A22" s="106" t="s">
        <v>40</v>
      </c>
      <c r="B22" s="105">
        <v>4</v>
      </c>
      <c r="C22" s="97">
        <f>4+3</f>
        <v>7</v>
      </c>
      <c r="D22" s="97">
        <f>5+5</f>
        <v>10</v>
      </c>
      <c r="E22" s="152"/>
    </row>
    <row r="23" spans="1:5" ht="19.5" customHeight="1">
      <c r="A23" s="106" t="s">
        <v>41</v>
      </c>
      <c r="B23" s="105">
        <v>42</v>
      </c>
      <c r="C23" s="97">
        <f>34*2+4*2</f>
        <v>76</v>
      </c>
      <c r="D23" s="97">
        <f>32*2+6*2</f>
        <v>76</v>
      </c>
      <c r="E23" s="152"/>
    </row>
    <row r="24" spans="1:5" ht="19.5" customHeight="1">
      <c r="A24" s="25" t="s">
        <v>42</v>
      </c>
      <c r="B24" s="97">
        <f>SUM(B25:B28)</f>
        <v>13</v>
      </c>
      <c r="C24" s="97">
        <f>SUM(C25:C28)</f>
        <v>106</v>
      </c>
      <c r="D24" s="97">
        <f>SUM(D25:D28)</f>
        <v>106</v>
      </c>
      <c r="E24" s="152"/>
    </row>
    <row r="25" spans="1:5" ht="19.5" customHeight="1">
      <c r="A25" s="25" t="s">
        <v>43</v>
      </c>
      <c r="B25" s="97"/>
      <c r="C25" s="25"/>
      <c r="D25" s="97"/>
      <c r="E25" s="152"/>
    </row>
    <row r="26" spans="1:5" ht="19.5" customHeight="1">
      <c r="A26" s="25" t="s">
        <v>44</v>
      </c>
      <c r="B26" s="97"/>
      <c r="C26" s="25"/>
      <c r="D26" s="97"/>
      <c r="E26" s="152"/>
    </row>
    <row r="27" spans="1:5" ht="19.5" customHeight="1">
      <c r="A27" s="25" t="s">
        <v>45</v>
      </c>
      <c r="B27" s="97">
        <v>13</v>
      </c>
      <c r="C27" s="97">
        <f>10+9+10+9+34*2</f>
        <v>106</v>
      </c>
      <c r="D27" s="97">
        <f>10+9+10+9+34*2</f>
        <v>106</v>
      </c>
      <c r="E27" s="152"/>
    </row>
    <row r="28" spans="1:5" ht="19.5" customHeight="1">
      <c r="A28" s="25" t="s">
        <v>46</v>
      </c>
      <c r="B28" s="97"/>
      <c r="C28" s="25"/>
      <c r="D28" s="25"/>
      <c r="E28" s="152"/>
    </row>
    <row r="29" spans="1:5" ht="30" customHeight="1">
      <c r="A29" s="8" t="s">
        <v>47</v>
      </c>
      <c r="B29" s="110">
        <f>SUM(B30:B34)</f>
        <v>642369.79</v>
      </c>
      <c r="C29" s="110">
        <f>SUM(C30:C34)</f>
        <v>1705324</v>
      </c>
      <c r="D29" s="110">
        <f>SUM(D30:D34)</f>
        <v>1212618.03</v>
      </c>
      <c r="E29" s="25"/>
    </row>
    <row r="30" spans="1:5" ht="19.5" customHeight="1">
      <c r="A30" s="104" t="s">
        <v>48</v>
      </c>
      <c r="B30" s="105"/>
      <c r="C30" s="105"/>
      <c r="D30" s="105"/>
      <c r="E30" s="25"/>
    </row>
    <row r="31" spans="1:5" ht="19.5" customHeight="1">
      <c r="A31" s="104" t="s">
        <v>49</v>
      </c>
      <c r="B31" s="105">
        <f>145512.65+7646.22+17452.76+18197.67</f>
        <v>188809.3</v>
      </c>
      <c r="C31" s="25">
        <f>251855.55+8646.54+10954.75+20022.36+15841.27</f>
        <v>307320.46999999997</v>
      </c>
      <c r="D31" s="25">
        <f>184619.66+4714.86+13091.91+10684.68+12060.07</f>
        <v>225171.18</v>
      </c>
      <c r="E31" s="25"/>
    </row>
    <row r="32" spans="1:5" ht="19.5" customHeight="1">
      <c r="A32" s="104" t="s">
        <v>50</v>
      </c>
      <c r="B32" s="105">
        <f>4600+110500</f>
        <v>115100</v>
      </c>
      <c r="C32" s="25">
        <f>3066.64+130833.36+149277.01+18031.12+518666.19</f>
        <v>819874.32</v>
      </c>
      <c r="D32" s="25">
        <f>1533.28+74333.4+90435.01+11044.48+317145.65</f>
        <v>494491.82</v>
      </c>
      <c r="E32" s="25"/>
    </row>
    <row r="33" spans="1:5" ht="19.5" customHeight="1">
      <c r="A33" s="104" t="s">
        <v>51</v>
      </c>
      <c r="B33" s="105">
        <f>179941+15391.16+8100+111362.5+23665.83</f>
        <v>338460.49</v>
      </c>
      <c r="C33" s="25">
        <f>144919.21+42424.02+7213.32+254864.16+128708.5</f>
        <v>578129.21</v>
      </c>
      <c r="D33" s="25">
        <f>106974.25+31544.78+3833.28+136826.39+213776.33</f>
        <v>492955.03</v>
      </c>
      <c r="E33" s="25"/>
    </row>
    <row r="34" spans="1:5" ht="19.5" customHeight="1">
      <c r="A34" s="111" t="s">
        <v>52</v>
      </c>
      <c r="B34" s="112"/>
      <c r="C34" s="25"/>
      <c r="D34" s="25"/>
      <c r="E34" s="25"/>
    </row>
  </sheetData>
  <mergeCells count="4">
    <mergeCell ref="A2:E2"/>
    <mergeCell ref="A3:C3"/>
    <mergeCell ref="E5:E13"/>
    <mergeCell ref="E14:E28"/>
  </mergeCells>
  <phoneticPr fontId="38"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dimension ref="A1:E26"/>
  <sheetViews>
    <sheetView tabSelected="1" workbookViewId="0">
      <pane xSplit="4" ySplit="4" topLeftCell="E5" activePane="bottomRight" state="frozen"/>
      <selection pane="topRight"/>
      <selection pane="bottomLeft"/>
      <selection pane="bottomRight" activeCell="D23" sqref="D23"/>
    </sheetView>
  </sheetViews>
  <sheetFormatPr defaultColWidth="9" defaultRowHeight="13.5"/>
  <cols>
    <col min="1" max="1" width="25.875" customWidth="1"/>
    <col min="2" max="4" width="18.875" customWidth="1"/>
  </cols>
  <sheetData>
    <row r="1" spans="1:5" ht="21">
      <c r="A1" s="72" t="s">
        <v>53</v>
      </c>
      <c r="B1" s="73"/>
    </row>
    <row r="2" spans="1:5" ht="25.5">
      <c r="A2" s="153" t="s">
        <v>292</v>
      </c>
      <c r="B2" s="153"/>
      <c r="C2" s="153"/>
      <c r="D2" s="153"/>
    </row>
    <row r="3" spans="1:5">
      <c r="A3" s="74" t="s">
        <v>54</v>
      </c>
      <c r="B3" s="75"/>
    </row>
    <row r="4" spans="1:5" ht="36" customHeight="1">
      <c r="A4" s="76" t="s">
        <v>55</v>
      </c>
      <c r="B4" s="76" t="s">
        <v>56</v>
      </c>
      <c r="C4" s="76" t="s">
        <v>57</v>
      </c>
      <c r="D4" s="76" t="s">
        <v>58</v>
      </c>
      <c r="E4" s="77"/>
    </row>
    <row r="5" spans="1:5" ht="22.5" customHeight="1">
      <c r="A5" s="78" t="s">
        <v>59</v>
      </c>
      <c r="B5" s="79">
        <f>B6</f>
        <v>191700</v>
      </c>
      <c r="C5" s="79">
        <f>C6</f>
        <v>731400</v>
      </c>
      <c r="D5" s="79">
        <f>D6</f>
        <v>1034600</v>
      </c>
    </row>
    <row r="6" spans="1:5" ht="22.5" customHeight="1">
      <c r="A6" s="80" t="s">
        <v>60</v>
      </c>
      <c r="B6" s="81">
        <v>191700</v>
      </c>
      <c r="C6" s="81">
        <f>240000+491400</f>
        <v>731400</v>
      </c>
      <c r="D6" s="81">
        <f>480000+554600</f>
        <v>1034600</v>
      </c>
    </row>
    <row r="7" spans="1:5" ht="22.5" customHeight="1">
      <c r="A7" s="80" t="s">
        <v>61</v>
      </c>
      <c r="B7" s="81"/>
      <c r="C7" s="81"/>
      <c r="D7" s="81"/>
    </row>
    <row r="8" spans="1:5" ht="22.5" customHeight="1">
      <c r="A8" s="80" t="s">
        <v>62</v>
      </c>
      <c r="B8" s="81"/>
      <c r="C8" s="81"/>
      <c r="D8" s="81"/>
    </row>
    <row r="9" spans="1:5" ht="22.5" customHeight="1">
      <c r="A9" s="80" t="s">
        <v>63</v>
      </c>
      <c r="B9" s="81"/>
      <c r="C9" s="81"/>
      <c r="D9" s="81"/>
    </row>
    <row r="10" spans="1:5" ht="22.5" customHeight="1">
      <c r="A10" s="78" t="s">
        <v>64</v>
      </c>
      <c r="B10" s="81"/>
      <c r="C10" s="81"/>
      <c r="D10" s="81"/>
    </row>
    <row r="11" spans="1:5" ht="22.5" customHeight="1">
      <c r="A11" s="78" t="s">
        <v>65</v>
      </c>
      <c r="B11" s="79">
        <f>B12+B21</f>
        <v>7279600</v>
      </c>
      <c r="C11" s="79">
        <f>C12+C21</f>
        <v>20166605.5</v>
      </c>
      <c r="D11" s="79">
        <f>D12+D21</f>
        <v>39104125.5</v>
      </c>
    </row>
    <row r="12" spans="1:5" ht="22.5" customHeight="1">
      <c r="A12" s="80" t="s">
        <v>66</v>
      </c>
      <c r="B12" s="81">
        <f>B13+B18+B19+B20</f>
        <v>7279600</v>
      </c>
      <c r="C12" s="81">
        <f>C13+C18+C19+C20</f>
        <v>20166605.5</v>
      </c>
      <c r="D12" s="81">
        <f>D13+D18+D19+D20</f>
        <v>39104125.5</v>
      </c>
    </row>
    <row r="13" spans="1:5" ht="22.5" customHeight="1">
      <c r="A13" s="80" t="s">
        <v>67</v>
      </c>
      <c r="B13" s="81">
        <f>SUM(B14:B17)</f>
        <v>3331500</v>
      </c>
      <c r="C13" s="81">
        <f>SUM(C14:C17)</f>
        <v>11464880</v>
      </c>
      <c r="D13" s="81">
        <f>SUM(D14:D17)</f>
        <v>16921080</v>
      </c>
    </row>
    <row r="14" spans="1:5" ht="22.5" customHeight="1">
      <c r="A14" s="80" t="s">
        <v>68</v>
      </c>
      <c r="B14" s="82">
        <f>2691200-231500</f>
        <v>2459700</v>
      </c>
      <c r="C14" s="82">
        <f>3590780+5301200-309000-457000</f>
        <v>8125980</v>
      </c>
      <c r="D14" s="82">
        <f>5602800+5386200-463500-482000</f>
        <v>10043500</v>
      </c>
    </row>
    <row r="15" spans="1:5" ht="22.5" customHeight="1">
      <c r="A15" s="80" t="s">
        <v>69</v>
      </c>
      <c r="B15" s="82">
        <f>943800-72000</f>
        <v>871800</v>
      </c>
      <c r="C15" s="82">
        <f>1029600+2600800-77500-214000</f>
        <v>3338900</v>
      </c>
      <c r="D15" s="82">
        <f>2696600+4783980-382000-221000</f>
        <v>6877580</v>
      </c>
    </row>
    <row r="16" spans="1:5" ht="22.5" customHeight="1">
      <c r="A16" s="80" t="s">
        <v>70</v>
      </c>
      <c r="B16" s="81"/>
      <c r="C16" s="81"/>
      <c r="D16" s="81"/>
    </row>
    <row r="17" spans="1:5" ht="22.5" customHeight="1">
      <c r="A17" s="80" t="s">
        <v>71</v>
      </c>
      <c r="B17" s="81"/>
      <c r="C17" s="81"/>
      <c r="D17" s="81"/>
    </row>
    <row r="18" spans="1:5" ht="22.5" customHeight="1">
      <c r="A18" s="83" t="s">
        <v>72</v>
      </c>
      <c r="B18" s="81">
        <v>1456800</v>
      </c>
      <c r="C18" s="81">
        <f>1860068+3560200</f>
        <v>5420268</v>
      </c>
      <c r="D18" s="81">
        <f>3732800+4673900</f>
        <v>8406700</v>
      </c>
    </row>
    <row r="19" spans="1:5" ht="22.5" customHeight="1">
      <c r="A19" s="80" t="s">
        <v>73</v>
      </c>
      <c r="B19" s="81">
        <f>2187800+231500+72000</f>
        <v>2491300</v>
      </c>
      <c r="C19" s="81">
        <f>620000+2169600-5331600+2473650+1287600+1004707.5+309000+457000+77500+214000</f>
        <v>3281457.5</v>
      </c>
      <c r="D19" s="81">
        <f>3058400+3212400+1347400+1736400+2873245.5+463500+482000+382000+221000</f>
        <v>13776345.5</v>
      </c>
      <c r="E19" s="77"/>
    </row>
    <row r="20" spans="1:5" ht="22.5" customHeight="1">
      <c r="A20" s="84" t="s">
        <v>74</v>
      </c>
      <c r="B20" s="85"/>
      <c r="C20" s="85"/>
      <c r="D20" s="85"/>
    </row>
    <row r="21" spans="1:5" ht="22.5" customHeight="1">
      <c r="A21" s="139" t="s">
        <v>273</v>
      </c>
      <c r="B21" s="85"/>
      <c r="C21" s="85"/>
      <c r="D21" s="85"/>
    </row>
    <row r="22" spans="1:5" ht="22.5" customHeight="1">
      <c r="A22" s="86" t="s">
        <v>274</v>
      </c>
      <c r="B22" s="141">
        <f>B13/B12</f>
        <v>0.45764877191054454</v>
      </c>
      <c r="C22" s="141">
        <f t="shared" ref="C22" si="0">C13/C12</f>
        <v>0.56850817059916203</v>
      </c>
      <c r="D22" s="141">
        <f>D13/D12</f>
        <v>0.43271853758754941</v>
      </c>
    </row>
    <row r="23" spans="1:5" ht="22.5" customHeight="1">
      <c r="A23" s="86" t="s">
        <v>275</v>
      </c>
      <c r="B23" s="140">
        <f>B18/B11</f>
        <v>0.200120885762954</v>
      </c>
      <c r="C23" s="140">
        <f t="shared" ref="C23:D23" si="1">C18/C11</f>
        <v>0.26877443504312115</v>
      </c>
      <c r="D23" s="140">
        <f t="shared" si="1"/>
        <v>0.214982431968719</v>
      </c>
    </row>
    <row r="24" spans="1:5" ht="22.5" customHeight="1">
      <c r="A24" s="86" t="s">
        <v>276</v>
      </c>
      <c r="B24" s="140">
        <f>B19/B11</f>
        <v>0.34223034232650146</v>
      </c>
      <c r="C24" s="140">
        <f t="shared" ref="C24" si="2">C19/C11</f>
        <v>0.16271739435771676</v>
      </c>
      <c r="D24" s="140">
        <v>0.37</v>
      </c>
    </row>
    <row r="25" spans="1:5" ht="22.5" customHeight="1">
      <c r="A25" s="88"/>
      <c r="B25" s="87"/>
      <c r="C25" s="87"/>
      <c r="D25" s="87"/>
    </row>
    <row r="26" spans="1:5" ht="22.5" customHeight="1">
      <c r="A26" s="88"/>
      <c r="B26" s="87"/>
      <c r="C26" s="87"/>
      <c r="D26" s="87"/>
    </row>
  </sheetData>
  <mergeCells count="1">
    <mergeCell ref="A2:D2"/>
  </mergeCells>
  <phoneticPr fontId="3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workbookViewId="0">
      <pane xSplit="10" ySplit="4" topLeftCell="K35" activePane="bottomRight" state="frozen"/>
      <selection pane="topRight"/>
      <selection pane="bottomLeft"/>
      <selection pane="bottomRight" activeCell="J32" sqref="J32"/>
    </sheetView>
  </sheetViews>
  <sheetFormatPr defaultColWidth="9" defaultRowHeight="13.5"/>
  <cols>
    <col min="1" max="1" width="24.125" customWidth="1"/>
    <col min="2" max="2" width="13.5" customWidth="1"/>
    <col min="3" max="3" width="10.5" customWidth="1"/>
    <col min="4" max="5" width="13.5" customWidth="1"/>
    <col min="6" max="6" width="10.5" customWidth="1"/>
    <col min="7" max="8" width="13.5" customWidth="1"/>
    <col min="9" max="9" width="10.5" customWidth="1"/>
    <col min="10" max="10" width="13.5" customWidth="1"/>
  </cols>
  <sheetData>
    <row r="1" spans="1:10" ht="20.25">
      <c r="A1" s="60" t="s">
        <v>75</v>
      </c>
      <c r="B1" s="45"/>
      <c r="C1" s="45"/>
      <c r="D1" s="45"/>
    </row>
    <row r="2" spans="1:10" ht="25.5">
      <c r="A2" s="154" t="s">
        <v>293</v>
      </c>
      <c r="B2" s="154"/>
      <c r="C2" s="154"/>
      <c r="D2" s="154"/>
      <c r="E2" s="154"/>
      <c r="F2" s="154"/>
      <c r="G2" s="154"/>
      <c r="H2" s="154"/>
      <c r="I2" s="154"/>
      <c r="J2" s="154"/>
    </row>
    <row r="3" spans="1:10" ht="15.75">
      <c r="A3" s="61"/>
      <c r="B3" s="61"/>
      <c r="C3" s="61"/>
      <c r="D3" s="61"/>
      <c r="J3" t="s">
        <v>76</v>
      </c>
    </row>
    <row r="4" spans="1:10" ht="15.6" customHeight="1">
      <c r="A4" s="62" t="s">
        <v>77</v>
      </c>
      <c r="B4" s="62" t="s">
        <v>78</v>
      </c>
      <c r="C4" s="63" t="s">
        <v>79</v>
      </c>
      <c r="D4" s="64" t="s">
        <v>80</v>
      </c>
      <c r="E4" s="62" t="s">
        <v>81</v>
      </c>
      <c r="F4" s="63" t="s">
        <v>79</v>
      </c>
      <c r="G4" s="64" t="s">
        <v>82</v>
      </c>
      <c r="H4" s="62" t="s">
        <v>83</v>
      </c>
      <c r="I4" s="63" t="s">
        <v>79</v>
      </c>
      <c r="J4" s="64" t="s">
        <v>84</v>
      </c>
    </row>
    <row r="5" spans="1:10" ht="15.75">
      <c r="A5" s="65" t="s">
        <v>85</v>
      </c>
      <c r="B5" s="66">
        <f>SUM(B6:B11)</f>
        <v>5245836.5600000005</v>
      </c>
      <c r="C5" s="40">
        <f>D5-B5</f>
        <v>-3733533.5600000005</v>
      </c>
      <c r="D5" s="40">
        <f>D6+D9+D10</f>
        <v>1512303</v>
      </c>
      <c r="E5" s="66">
        <f>SUM(E6:E11)</f>
        <v>11378700.239999998</v>
      </c>
      <c r="F5" s="40">
        <f>G5-E5</f>
        <v>-4042367.3599999985</v>
      </c>
      <c r="G5" s="40">
        <f>G6+G9+G10</f>
        <v>7336332.8799999999</v>
      </c>
      <c r="H5" s="66">
        <f>SUM(H6:H11)</f>
        <v>18402060.309999999</v>
      </c>
      <c r="I5" s="40">
        <f>J5-H5</f>
        <v>-5638590.459999999</v>
      </c>
      <c r="J5" s="40">
        <f>J6+J9+J10</f>
        <v>12763469.85</v>
      </c>
    </row>
    <row r="6" spans="1:10" ht="15.75">
      <c r="A6" s="67" t="s">
        <v>277</v>
      </c>
      <c r="B6" s="40">
        <f>1859773.27+2293737.89+74800+89342+244603.24+302705.06</f>
        <v>4864961.46</v>
      </c>
      <c r="C6" s="40">
        <f t="shared" ref="C6:C54" si="0">D6-B6</f>
        <v>-3492401.46</v>
      </c>
      <c r="D6" s="40">
        <v>1372560</v>
      </c>
      <c r="E6" s="40">
        <f>7389307.13+1126333.81+68786+180663.85+348304+728703.86+735261.83</f>
        <v>10577360.479999999</v>
      </c>
      <c r="F6" s="40">
        <f t="shared" ref="F6:F55" si="1">G6-E6</f>
        <v>-3924560.4799999986</v>
      </c>
      <c r="G6" s="40">
        <v>6652800</v>
      </c>
      <c r="H6" s="40">
        <f>11373197.05+1291738.37+185708.93+204300+352167+1252595+1089786.51</f>
        <v>15749492.859999999</v>
      </c>
      <c r="I6" s="40">
        <f t="shared" ref="I6:I55" si="2">J6-H6</f>
        <v>-4668572.8599999994</v>
      </c>
      <c r="J6" s="40">
        <f>薪酬核定表!D26</f>
        <v>11080920</v>
      </c>
    </row>
    <row r="7" spans="1:10" ht="15.75">
      <c r="A7" s="67" t="s">
        <v>245</v>
      </c>
      <c r="B7" s="40">
        <v>293444.44</v>
      </c>
      <c r="C7" s="40">
        <f t="shared" si="0"/>
        <v>-101286.04000000001</v>
      </c>
      <c r="D7" s="40">
        <v>192158.4</v>
      </c>
      <c r="E7" s="40">
        <f>226250-E8</f>
        <v>50250</v>
      </c>
      <c r="F7" s="40">
        <f t="shared" si="1"/>
        <v>0</v>
      </c>
      <c r="G7" s="40">
        <v>50250</v>
      </c>
      <c r="H7" s="40">
        <f>593443.19-H8</f>
        <v>59430.499999999898</v>
      </c>
      <c r="I7" s="40">
        <v>0</v>
      </c>
      <c r="J7" s="40">
        <v>59430.5</v>
      </c>
    </row>
    <row r="8" spans="1:10" ht="15.75">
      <c r="A8" s="67" t="s">
        <v>86</v>
      </c>
      <c r="B8" s="40"/>
      <c r="C8" s="40">
        <f t="shared" si="0"/>
        <v>0</v>
      </c>
      <c r="D8" s="40"/>
      <c r="E8" s="40">
        <v>176000</v>
      </c>
      <c r="F8" s="40">
        <f t="shared" si="1"/>
        <v>-176000</v>
      </c>
      <c r="G8" s="40"/>
      <c r="H8" s="40">
        <f>35009.55+499003.14</f>
        <v>534012.68999999994</v>
      </c>
      <c r="I8" s="40">
        <f t="shared" si="2"/>
        <v>-534012.68999999994</v>
      </c>
      <c r="J8" s="40">
        <v>0</v>
      </c>
    </row>
    <row r="9" spans="1:10" ht="15.75">
      <c r="A9" s="67" t="s">
        <v>87</v>
      </c>
      <c r="B9" s="40">
        <f>71124+7366.66</f>
        <v>78490.66</v>
      </c>
      <c r="C9" s="40">
        <f t="shared" si="0"/>
        <v>-7375.6600000000035</v>
      </c>
      <c r="D9" s="40">
        <f>67158.8+3956.2</f>
        <v>71115</v>
      </c>
      <c r="E9" s="40">
        <f>350892.88+37309.6+41729.28</f>
        <v>429931.76</v>
      </c>
      <c r="F9" s="40">
        <f>G9-E9</f>
        <v>-79038.880000000005</v>
      </c>
      <c r="G9" s="40">
        <f>334212.1+16680.78</f>
        <v>350892.88</v>
      </c>
      <c r="H9" s="40">
        <f>1154393.85+311229.64+144202.07</f>
        <v>1609825.56</v>
      </c>
      <c r="I9" s="40">
        <f t="shared" si="2"/>
        <v>-455431.70999999996</v>
      </c>
      <c r="J9" s="40">
        <f>1144533.85+9860</f>
        <v>1154393.8500000001</v>
      </c>
    </row>
    <row r="10" spans="1:10" ht="15.75">
      <c r="A10" s="67" t="s">
        <v>88</v>
      </c>
      <c r="B10" s="40">
        <v>8940</v>
      </c>
      <c r="C10" s="40">
        <f t="shared" si="0"/>
        <v>59688</v>
      </c>
      <c r="D10" s="40">
        <v>68628</v>
      </c>
      <c r="E10" s="40">
        <v>138408</v>
      </c>
      <c r="F10" s="40">
        <f t="shared" si="1"/>
        <v>194232</v>
      </c>
      <c r="G10" s="40">
        <v>332640</v>
      </c>
      <c r="H10" s="40">
        <v>373533</v>
      </c>
      <c r="I10" s="40">
        <f t="shared" si="2"/>
        <v>154623</v>
      </c>
      <c r="J10" s="40">
        <v>528156</v>
      </c>
    </row>
    <row r="11" spans="1:10" ht="15.75">
      <c r="A11" s="67" t="s">
        <v>89</v>
      </c>
      <c r="B11" s="40"/>
      <c r="C11" s="40">
        <f t="shared" si="0"/>
        <v>0</v>
      </c>
      <c r="D11" s="40">
        <v>0</v>
      </c>
      <c r="E11" s="40">
        <v>6750</v>
      </c>
      <c r="F11" s="40">
        <f t="shared" si="1"/>
        <v>-6750</v>
      </c>
      <c r="G11" s="40">
        <v>0</v>
      </c>
      <c r="H11" s="40">
        <v>75765.7</v>
      </c>
      <c r="I11" s="40">
        <f t="shared" si="2"/>
        <v>-75765.7</v>
      </c>
      <c r="J11" s="40">
        <v>0</v>
      </c>
    </row>
    <row r="12" spans="1:10" ht="15.75">
      <c r="A12" s="65" t="s">
        <v>90</v>
      </c>
      <c r="B12" s="66">
        <f>SUM(B13:B36)</f>
        <v>3000235.42</v>
      </c>
      <c r="C12" s="40">
        <f t="shared" si="0"/>
        <v>-2108927.02</v>
      </c>
      <c r="D12" s="40">
        <f>D13+D14+D15+D16+D17+D18+D19+D20+D21+D22+D23+D24+D25+D26+D27+D28+D29+D30+D31+D32+D33+D34+D35+D36</f>
        <v>891308.4</v>
      </c>
      <c r="E12" s="66">
        <f>SUM(E13:E36)</f>
        <v>13561204.469999999</v>
      </c>
      <c r="F12" s="40">
        <f t="shared" si="1"/>
        <v>-11597332.379999999</v>
      </c>
      <c r="G12" s="40">
        <f>G13+G14+G15+G16+G17+G18+G19+G20+G21+G22+G23+G24+G25+G26+G27+G28+G29+G30+G31+G32+G33+G34+G35+G36</f>
        <v>1963872.0899999999</v>
      </c>
      <c r="H12" s="66">
        <f>SUM(H13:H36)</f>
        <v>24763747.990000002</v>
      </c>
      <c r="I12" s="40">
        <f t="shared" si="2"/>
        <v>-22483170.970000003</v>
      </c>
      <c r="J12" s="40">
        <f>J13+J14+J15+J16+J17+J18+J19+J20+J21+J22+J23+J24+J25+J26+J27+J28+J29+J30+J31+J32+J33+J34+J35+J36</f>
        <v>2280577.0199999996</v>
      </c>
    </row>
    <row r="13" spans="1:10" ht="15.75">
      <c r="A13" s="68" t="s">
        <v>91</v>
      </c>
      <c r="B13" s="40">
        <f>97815.22+671.26</f>
        <v>98486.48</v>
      </c>
      <c r="C13" s="40">
        <f t="shared" si="0"/>
        <v>-33571.259999999995</v>
      </c>
      <c r="D13" s="40">
        <v>64915.22</v>
      </c>
      <c r="E13" s="40">
        <f>81935.88+7895.52</f>
        <v>89831.400000000009</v>
      </c>
      <c r="F13" s="40">
        <f t="shared" si="1"/>
        <v>-7895.5200000000041</v>
      </c>
      <c r="G13" s="40">
        <v>81935.88</v>
      </c>
      <c r="H13" s="40">
        <f>256591.24+3719.25-29900.11-12000</f>
        <v>218410.38</v>
      </c>
      <c r="I13" s="40">
        <f t="shared" si="2"/>
        <v>38180.859999999986</v>
      </c>
      <c r="J13" s="40">
        <v>256591.24</v>
      </c>
    </row>
    <row r="14" spans="1:10" ht="15.75">
      <c r="A14" s="68" t="s">
        <v>92</v>
      </c>
      <c r="B14" s="40">
        <v>53342</v>
      </c>
      <c r="C14" s="40">
        <f t="shared" si="0"/>
        <v>0</v>
      </c>
      <c r="D14" s="40">
        <v>53342</v>
      </c>
      <c r="E14" s="40">
        <v>6752.6</v>
      </c>
      <c r="F14" s="40">
        <f t="shared" si="1"/>
        <v>0</v>
      </c>
      <c r="G14" s="40">
        <v>6752.6</v>
      </c>
      <c r="H14" s="40"/>
      <c r="I14" s="40">
        <f t="shared" si="2"/>
        <v>0</v>
      </c>
      <c r="J14" s="40"/>
    </row>
    <row r="15" spans="1:10" ht="15.75">
      <c r="A15" s="68" t="s">
        <v>93</v>
      </c>
      <c r="B15" s="40">
        <v>361600</v>
      </c>
      <c r="C15" s="40">
        <f t="shared" si="0"/>
        <v>-361600</v>
      </c>
      <c r="D15" s="40">
        <v>0</v>
      </c>
      <c r="E15" s="40">
        <v>517750</v>
      </c>
      <c r="F15" s="40">
        <f t="shared" si="1"/>
        <v>-517750</v>
      </c>
      <c r="G15" s="40">
        <v>0</v>
      </c>
      <c r="H15" s="40">
        <v>1592430</v>
      </c>
      <c r="I15" s="40">
        <f t="shared" si="2"/>
        <v>-1592430</v>
      </c>
      <c r="J15" s="40">
        <v>0</v>
      </c>
    </row>
    <row r="16" spans="1:10" ht="15.75">
      <c r="A16" s="68" t="s">
        <v>94</v>
      </c>
      <c r="B16" s="40"/>
      <c r="C16" s="40">
        <f t="shared" si="0"/>
        <v>0</v>
      </c>
      <c r="D16" s="40"/>
      <c r="E16" s="40"/>
      <c r="F16" s="40">
        <f t="shared" si="1"/>
        <v>0</v>
      </c>
      <c r="G16" s="40"/>
      <c r="H16" s="40"/>
      <c r="I16" s="40">
        <f t="shared" si="2"/>
        <v>0</v>
      </c>
      <c r="J16" s="40"/>
    </row>
    <row r="17" spans="1:10" ht="15.75">
      <c r="A17" s="68" t="s">
        <v>95</v>
      </c>
      <c r="B17" s="40">
        <f>7786.05+136556.21</f>
        <v>144342.25999999998</v>
      </c>
      <c r="C17" s="40">
        <f t="shared" si="0"/>
        <v>-136556.21</v>
      </c>
      <c r="D17" s="40">
        <v>7786.05</v>
      </c>
      <c r="E17" s="40">
        <v>40836.050000000003</v>
      </c>
      <c r="F17" s="40">
        <f t="shared" si="1"/>
        <v>1516.1999999999971</v>
      </c>
      <c r="G17" s="40">
        <v>42352.25</v>
      </c>
      <c r="H17" s="40">
        <f>31117.93+92341.4</f>
        <v>123459.32999999999</v>
      </c>
      <c r="I17" s="40">
        <f t="shared" si="2"/>
        <v>-89989.4</v>
      </c>
      <c r="J17" s="40">
        <v>33469.93</v>
      </c>
    </row>
    <row r="18" spans="1:10" ht="15.75">
      <c r="A18" s="68" t="s">
        <v>96</v>
      </c>
      <c r="B18" s="40">
        <v>85028.56</v>
      </c>
      <c r="C18" s="40">
        <f t="shared" si="0"/>
        <v>0</v>
      </c>
      <c r="D18" s="40">
        <v>85028.56</v>
      </c>
      <c r="E18" s="40">
        <v>172442.78</v>
      </c>
      <c r="F18" s="40">
        <f t="shared" si="1"/>
        <v>-1516.2000000000116</v>
      </c>
      <c r="G18" s="40">
        <v>170926.58</v>
      </c>
      <c r="H18" s="40">
        <f>96840.67+138142.53</f>
        <v>234983.2</v>
      </c>
      <c r="I18" s="40">
        <f t="shared" si="2"/>
        <v>-140494.53000000003</v>
      </c>
      <c r="J18" s="40">
        <v>94488.67</v>
      </c>
    </row>
    <row r="19" spans="1:10" ht="15.75">
      <c r="A19" s="68" t="s">
        <v>97</v>
      </c>
      <c r="B19" s="40">
        <v>152</v>
      </c>
      <c r="C19" s="40">
        <f t="shared" si="0"/>
        <v>0</v>
      </c>
      <c r="D19" s="40">
        <v>152</v>
      </c>
      <c r="E19" s="69">
        <v>7790.85</v>
      </c>
      <c r="F19" s="40">
        <f t="shared" si="1"/>
        <v>0</v>
      </c>
      <c r="G19" s="40">
        <v>7790.85</v>
      </c>
      <c r="H19" s="40">
        <v>924</v>
      </c>
      <c r="I19" s="40">
        <f t="shared" si="2"/>
        <v>34</v>
      </c>
      <c r="J19" s="40">
        <v>958</v>
      </c>
    </row>
    <row r="20" spans="1:10" ht="15.75">
      <c r="A20" s="68" t="s">
        <v>278</v>
      </c>
      <c r="B20" s="40"/>
      <c r="C20" s="40">
        <f t="shared" si="0"/>
        <v>32900</v>
      </c>
      <c r="D20" s="40">
        <v>32900</v>
      </c>
      <c r="E20" s="69"/>
      <c r="F20" s="40">
        <f t="shared" si="1"/>
        <v>33600</v>
      </c>
      <c r="G20" s="40">
        <v>33600</v>
      </c>
      <c r="H20" s="40"/>
      <c r="I20" s="40">
        <f t="shared" si="2"/>
        <v>24600</v>
      </c>
      <c r="J20" s="40">
        <v>24600</v>
      </c>
    </row>
    <row r="21" spans="1:10" ht="15.75">
      <c r="A21" s="68" t="s">
        <v>98</v>
      </c>
      <c r="B21" s="40">
        <v>116370.08</v>
      </c>
      <c r="C21" s="40">
        <f t="shared" si="0"/>
        <v>0</v>
      </c>
      <c r="D21" s="40">
        <v>116370.08</v>
      </c>
      <c r="E21" s="69">
        <f>31684.96+23544.91</f>
        <v>55229.87</v>
      </c>
      <c r="F21" s="40">
        <f t="shared" si="1"/>
        <v>-23544.910000000003</v>
      </c>
      <c r="G21" s="40">
        <v>31684.959999999999</v>
      </c>
      <c r="H21" s="40">
        <f>43207+19017.16</f>
        <v>62224.160000000003</v>
      </c>
      <c r="I21" s="40">
        <f t="shared" si="2"/>
        <v>-21432.240000000005</v>
      </c>
      <c r="J21" s="40">
        <v>40791.919999999998</v>
      </c>
    </row>
    <row r="22" spans="1:10" ht="15.75">
      <c r="A22" s="68" t="s">
        <v>247</v>
      </c>
      <c r="B22" s="40">
        <v>15534</v>
      </c>
      <c r="C22" s="40">
        <f t="shared" si="0"/>
        <v>0</v>
      </c>
      <c r="D22" s="40">
        <v>15534</v>
      </c>
      <c r="E22" s="69">
        <v>174739</v>
      </c>
      <c r="F22" s="40">
        <f t="shared" si="1"/>
        <v>0</v>
      </c>
      <c r="G22" s="40">
        <f>169700+5039</f>
        <v>174739</v>
      </c>
      <c r="H22" s="40"/>
      <c r="I22" s="40">
        <f t="shared" si="2"/>
        <v>0</v>
      </c>
      <c r="J22" s="40"/>
    </row>
    <row r="23" spans="1:10" ht="15.75">
      <c r="A23" s="68" t="s">
        <v>99</v>
      </c>
      <c r="B23" s="40">
        <v>58998.89</v>
      </c>
      <c r="C23" s="40">
        <f t="shared" si="0"/>
        <v>-14753.89</v>
      </c>
      <c r="D23" s="40">
        <v>44245</v>
      </c>
      <c r="E23" s="69">
        <v>160652.25</v>
      </c>
      <c r="F23" s="40">
        <f t="shared" si="1"/>
        <v>-80876.55</v>
      </c>
      <c r="G23" s="40">
        <v>79775.7</v>
      </c>
      <c r="H23" s="40">
        <v>175784.09</v>
      </c>
      <c r="I23" s="40">
        <f t="shared" si="2"/>
        <v>-72019.539999999994</v>
      </c>
      <c r="J23" s="40">
        <v>103764.55</v>
      </c>
    </row>
    <row r="24" spans="1:10" ht="15.75">
      <c r="A24" s="68" t="s">
        <v>100</v>
      </c>
      <c r="B24" s="40">
        <v>70042.45</v>
      </c>
      <c r="C24" s="40">
        <f t="shared" si="0"/>
        <v>-70042.45</v>
      </c>
      <c r="D24" s="40">
        <v>0</v>
      </c>
      <c r="E24" s="69">
        <f>3631475+3346524</f>
        <v>6977999</v>
      </c>
      <c r="F24" s="40">
        <f t="shared" si="1"/>
        <v>-6977999</v>
      </c>
      <c r="G24" s="40"/>
      <c r="H24" s="40">
        <f>5062740+9572207.71</f>
        <v>14634947.710000001</v>
      </c>
      <c r="I24" s="40">
        <f t="shared" si="2"/>
        <v>-14634947.710000001</v>
      </c>
      <c r="J24" s="40">
        <v>0</v>
      </c>
    </row>
    <row r="25" spans="1:10" ht="15.75">
      <c r="A25" s="68" t="s">
        <v>101</v>
      </c>
      <c r="B25" s="40">
        <v>7991</v>
      </c>
      <c r="C25" s="40">
        <f t="shared" si="0"/>
        <v>-7991</v>
      </c>
      <c r="D25" s="40"/>
      <c r="E25" s="69"/>
      <c r="F25" s="40">
        <f t="shared" si="1"/>
        <v>0</v>
      </c>
      <c r="G25" s="40"/>
      <c r="H25" s="40">
        <v>18305.46</v>
      </c>
      <c r="I25" s="40">
        <f t="shared" si="2"/>
        <v>-7528</v>
      </c>
      <c r="J25" s="40">
        <v>10777.46</v>
      </c>
    </row>
    <row r="26" spans="1:10" ht="15.75">
      <c r="A26" s="68" t="s">
        <v>102</v>
      </c>
      <c r="B26" s="40">
        <v>31790.31</v>
      </c>
      <c r="C26" s="40">
        <f t="shared" si="0"/>
        <v>-31790.31</v>
      </c>
      <c r="D26" s="40"/>
      <c r="E26" s="69">
        <v>3637</v>
      </c>
      <c r="F26" s="40">
        <f t="shared" si="1"/>
        <v>-3637</v>
      </c>
      <c r="G26" s="40">
        <v>0</v>
      </c>
      <c r="H26" s="40">
        <v>180595</v>
      </c>
      <c r="I26" s="40">
        <f t="shared" si="2"/>
        <v>-180595</v>
      </c>
      <c r="J26" s="40">
        <v>0</v>
      </c>
    </row>
    <row r="27" spans="1:10" ht="15.75">
      <c r="A27" s="68" t="s">
        <v>103</v>
      </c>
      <c r="B27" s="40">
        <f>21421.8+3515.5</f>
        <v>24937.3</v>
      </c>
      <c r="C27" s="40">
        <f t="shared" si="0"/>
        <v>-3515.5</v>
      </c>
      <c r="D27" s="40">
        <v>21421.8</v>
      </c>
      <c r="E27" s="69">
        <f>95786.22+9745</f>
        <v>105531.22</v>
      </c>
      <c r="F27" s="40">
        <f t="shared" si="1"/>
        <v>-4698.1900000000023</v>
      </c>
      <c r="G27" s="40">
        <v>100833.03</v>
      </c>
      <c r="H27" s="40">
        <f>103838.16+9827</f>
        <v>113665.16</v>
      </c>
      <c r="I27" s="40">
        <f t="shared" si="2"/>
        <v>0</v>
      </c>
      <c r="J27" s="40">
        <v>113665.16</v>
      </c>
    </row>
    <row r="28" spans="1:10" ht="15.75">
      <c r="A28" s="68" t="s">
        <v>104</v>
      </c>
      <c r="B28" s="40"/>
      <c r="C28" s="40">
        <f t="shared" si="0"/>
        <v>0</v>
      </c>
      <c r="D28" s="40"/>
      <c r="E28" s="69"/>
      <c r="F28" s="40">
        <f t="shared" si="1"/>
        <v>0</v>
      </c>
      <c r="G28" s="40"/>
      <c r="H28" s="40"/>
      <c r="I28" s="40">
        <f t="shared" si="2"/>
        <v>0</v>
      </c>
      <c r="J28" s="40"/>
    </row>
    <row r="29" spans="1:10" ht="15.75">
      <c r="A29" s="68" t="s">
        <v>105</v>
      </c>
      <c r="B29" s="40">
        <v>15653.89</v>
      </c>
      <c r="C29" s="40">
        <f t="shared" si="0"/>
        <v>0</v>
      </c>
      <c r="D29" s="40">
        <v>15653.89</v>
      </c>
      <c r="E29" s="40">
        <v>17421.009999999998</v>
      </c>
      <c r="F29" s="40">
        <f t="shared" si="1"/>
        <v>0</v>
      </c>
      <c r="G29" s="40">
        <v>17421.009999999998</v>
      </c>
      <c r="H29" s="40">
        <v>2150</v>
      </c>
      <c r="I29" s="40">
        <f t="shared" si="2"/>
        <v>0</v>
      </c>
      <c r="J29" s="40">
        <v>2150</v>
      </c>
    </row>
    <row r="30" spans="1:10" ht="15.75">
      <c r="A30" s="68" t="s">
        <v>246</v>
      </c>
      <c r="B30" s="40">
        <v>2762.36</v>
      </c>
      <c r="C30" s="40">
        <f t="shared" si="0"/>
        <v>31551.64</v>
      </c>
      <c r="D30" s="40">
        <v>34314</v>
      </c>
      <c r="E30" s="40">
        <v>3000</v>
      </c>
      <c r="F30" s="40">
        <f t="shared" si="1"/>
        <v>163320</v>
      </c>
      <c r="G30" s="40">
        <v>166320</v>
      </c>
      <c r="H30" s="40">
        <v>11000</v>
      </c>
      <c r="I30" s="40">
        <f t="shared" si="2"/>
        <v>266023</v>
      </c>
      <c r="J30" s="40">
        <f>薪酬核定表!D33</f>
        <v>277023</v>
      </c>
    </row>
    <row r="31" spans="1:10" ht="15.75">
      <c r="A31" s="68" t="s">
        <v>106</v>
      </c>
      <c r="B31" s="40"/>
      <c r="C31" s="40">
        <f t="shared" si="0"/>
        <v>27451.200000000001</v>
      </c>
      <c r="D31" s="40">
        <v>27451.200000000001</v>
      </c>
      <c r="E31" s="40">
        <v>55142.37</v>
      </c>
      <c r="F31" s="40">
        <f t="shared" si="1"/>
        <v>77913.63</v>
      </c>
      <c r="G31" s="40">
        <v>133056</v>
      </c>
      <c r="H31" s="40">
        <v>113301.67</v>
      </c>
      <c r="I31" s="40">
        <f t="shared" si="2"/>
        <v>108316.73</v>
      </c>
      <c r="J31" s="40">
        <f>薪酬核定表!D32</f>
        <v>221618.4</v>
      </c>
    </row>
    <row r="32" spans="1:10" ht="15.75">
      <c r="A32" s="68" t="s">
        <v>107</v>
      </c>
      <c r="B32" s="40">
        <f>293444.44+58092.5</f>
        <v>351536.94</v>
      </c>
      <c r="C32" s="40">
        <f t="shared" si="0"/>
        <v>-351536.94</v>
      </c>
      <c r="D32" s="40">
        <v>0</v>
      </c>
      <c r="E32" s="40">
        <f>716422.13+123780.55+35775.62</f>
        <v>875978.3</v>
      </c>
      <c r="F32" s="40">
        <f t="shared" si="1"/>
        <v>-875978.3</v>
      </c>
      <c r="G32" s="40">
        <v>0</v>
      </c>
      <c r="H32" s="40">
        <f>605871.08+94350.92+17724.43+85876.09+29900.11</f>
        <v>833722.63</v>
      </c>
      <c r="I32" s="40">
        <f t="shared" si="2"/>
        <v>-833722.63</v>
      </c>
      <c r="J32" s="40">
        <v>0</v>
      </c>
    </row>
    <row r="33" spans="1:10" ht="15.75">
      <c r="A33" s="68" t="s">
        <v>108</v>
      </c>
      <c r="B33" s="40"/>
      <c r="C33" s="40">
        <f t="shared" si="0"/>
        <v>0</v>
      </c>
      <c r="D33" s="40"/>
      <c r="E33" s="40"/>
      <c r="F33" s="40">
        <f t="shared" si="1"/>
        <v>0</v>
      </c>
      <c r="G33" s="40"/>
      <c r="H33" s="40">
        <v>50000</v>
      </c>
      <c r="I33" s="40">
        <f t="shared" si="2"/>
        <v>841</v>
      </c>
      <c r="J33" s="40">
        <v>50841</v>
      </c>
    </row>
    <row r="34" spans="1:10" ht="15.75">
      <c r="A34" s="68" t="s">
        <v>109</v>
      </c>
      <c r="B34" s="40">
        <f>3460+8720</f>
        <v>12180</v>
      </c>
      <c r="C34" s="40">
        <f t="shared" si="0"/>
        <v>4986.9500000000007</v>
      </c>
      <c r="D34" s="40">
        <v>17166.95</v>
      </c>
      <c r="E34" s="40">
        <f>3465.63+3245.9</f>
        <v>6711.53</v>
      </c>
      <c r="F34" s="40">
        <f t="shared" si="1"/>
        <v>0</v>
      </c>
      <c r="G34" s="40">
        <v>6711.53</v>
      </c>
      <c r="H34" s="40">
        <f>18269+841</f>
        <v>19110</v>
      </c>
      <c r="I34" s="40">
        <f t="shared" si="2"/>
        <v>0</v>
      </c>
      <c r="J34" s="40">
        <v>19110</v>
      </c>
    </row>
    <row r="35" spans="1:10" ht="15.75">
      <c r="A35" s="68" t="s">
        <v>110</v>
      </c>
      <c r="B35" s="40"/>
      <c r="C35" s="40">
        <f t="shared" si="0"/>
        <v>0</v>
      </c>
      <c r="D35" s="40"/>
      <c r="E35" s="40"/>
      <c r="F35" s="40">
        <f t="shared" si="1"/>
        <v>0</v>
      </c>
      <c r="G35" s="40"/>
      <c r="H35" s="40"/>
      <c r="I35" s="40">
        <f t="shared" si="2"/>
        <v>0</v>
      </c>
      <c r="J35" s="40"/>
    </row>
    <row r="36" spans="1:10" ht="15.75">
      <c r="A36" s="68" t="s">
        <v>111</v>
      </c>
      <c r="B36" s="40">
        <f>381461.65+1040777.13+127248.12</f>
        <v>1549486.9</v>
      </c>
      <c r="C36" s="40">
        <f t="shared" si="0"/>
        <v>-1194459.25</v>
      </c>
      <c r="D36" s="40">
        <v>355027.65</v>
      </c>
      <c r="E36" s="40">
        <f>1179113.42+3076967.71+100182.72-66504.61</f>
        <v>4289759.24</v>
      </c>
      <c r="F36" s="40">
        <f t="shared" si="1"/>
        <v>-3379786.54</v>
      </c>
      <c r="G36" s="40">
        <f>213795.37+274998.33+23276.85+29460.74+14270+23670+143550+62266.68+6750+8063.5+9871.23+100000</f>
        <v>909972.70000000007</v>
      </c>
      <c r="H36" s="40">
        <f>1188097.89+5055202.24+123435.07+12000</f>
        <v>6378735.2000000002</v>
      </c>
      <c r="I36" s="40">
        <f t="shared" si="2"/>
        <v>-5348007.51</v>
      </c>
      <c r="J36" s="40">
        <f>868227.7+50199.99+97800+14500</f>
        <v>1030727.69</v>
      </c>
    </row>
    <row r="37" spans="1:10" ht="15.75">
      <c r="A37" s="70" t="s">
        <v>112</v>
      </c>
      <c r="B37" s="40">
        <f>SUM(B38:B43)</f>
        <v>50000</v>
      </c>
      <c r="C37" s="40">
        <f t="shared" si="0"/>
        <v>0</v>
      </c>
      <c r="D37" s="40">
        <v>50000</v>
      </c>
      <c r="E37" s="40">
        <f>SUM(E38:E43)</f>
        <v>406988.61</v>
      </c>
      <c r="F37" s="40">
        <f t="shared" si="1"/>
        <v>-147884</v>
      </c>
      <c r="G37" s="40">
        <f>G38+G39+G40+G41+G42+G43</f>
        <v>259104.61</v>
      </c>
      <c r="H37" s="40">
        <f>SUM(H38:H43)</f>
        <v>220428</v>
      </c>
      <c r="I37" s="40">
        <f t="shared" si="2"/>
        <v>0</v>
      </c>
      <c r="J37" s="40">
        <f>J38+J39+J40+J41+J42+J43</f>
        <v>220428</v>
      </c>
    </row>
    <row r="38" spans="1:10" ht="15.75">
      <c r="A38" s="68" t="s">
        <v>113</v>
      </c>
      <c r="B38" s="40"/>
      <c r="C38" s="40">
        <f t="shared" si="0"/>
        <v>0</v>
      </c>
      <c r="D38" s="40"/>
      <c r="E38" s="40"/>
      <c r="F38" s="40">
        <f t="shared" si="1"/>
        <v>0</v>
      </c>
      <c r="G38" s="40"/>
      <c r="H38" s="40"/>
      <c r="I38" s="40">
        <f t="shared" si="2"/>
        <v>0</v>
      </c>
      <c r="J38" s="40"/>
    </row>
    <row r="39" spans="1:10" ht="15.75">
      <c r="A39" s="68" t="s">
        <v>114</v>
      </c>
      <c r="B39" s="40"/>
      <c r="C39" s="40">
        <f t="shared" si="0"/>
        <v>0</v>
      </c>
      <c r="D39" s="40"/>
      <c r="E39" s="40"/>
      <c r="F39" s="40">
        <f t="shared" si="1"/>
        <v>0</v>
      </c>
      <c r="G39" s="40"/>
      <c r="H39" s="40"/>
      <c r="I39" s="40">
        <f t="shared" si="2"/>
        <v>0</v>
      </c>
      <c r="J39" s="40"/>
    </row>
    <row r="40" spans="1:10" ht="15.75">
      <c r="A40" s="68" t="s">
        <v>115</v>
      </c>
      <c r="B40" s="40"/>
      <c r="C40" s="40">
        <f t="shared" si="0"/>
        <v>0</v>
      </c>
      <c r="D40" s="40"/>
      <c r="E40" s="40">
        <v>97884</v>
      </c>
      <c r="F40" s="40">
        <f t="shared" si="1"/>
        <v>-97884</v>
      </c>
      <c r="G40" s="40"/>
      <c r="H40" s="40"/>
      <c r="I40" s="40">
        <f t="shared" si="2"/>
        <v>0</v>
      </c>
      <c r="J40" s="40"/>
    </row>
    <row r="41" spans="1:10" ht="15.75">
      <c r="A41" s="68" t="s">
        <v>116</v>
      </c>
      <c r="B41" s="40"/>
      <c r="C41" s="40">
        <f t="shared" si="0"/>
        <v>0</v>
      </c>
      <c r="D41" s="40"/>
      <c r="E41" s="40">
        <v>66504.61</v>
      </c>
      <c r="F41" s="40">
        <f t="shared" si="1"/>
        <v>0</v>
      </c>
      <c r="G41" s="40">
        <v>66504.61</v>
      </c>
      <c r="H41" s="40">
        <v>21528</v>
      </c>
      <c r="I41" s="40">
        <f t="shared" si="2"/>
        <v>0</v>
      </c>
      <c r="J41" s="40">
        <v>21528</v>
      </c>
    </row>
    <row r="42" spans="1:10" ht="15.75">
      <c r="A42" s="68" t="s">
        <v>117</v>
      </c>
      <c r="B42" s="40"/>
      <c r="C42" s="40">
        <f t="shared" si="0"/>
        <v>0</v>
      </c>
      <c r="D42" s="40"/>
      <c r="E42" s="40">
        <v>31600</v>
      </c>
      <c r="F42" s="40">
        <f t="shared" si="1"/>
        <v>0</v>
      </c>
      <c r="G42" s="40">
        <v>31600</v>
      </c>
      <c r="H42" s="40">
        <v>46400</v>
      </c>
      <c r="I42" s="40">
        <f t="shared" si="2"/>
        <v>0</v>
      </c>
      <c r="J42" s="40">
        <v>46400</v>
      </c>
    </row>
    <row r="43" spans="1:10" ht="15.75">
      <c r="A43" s="68" t="s">
        <v>118</v>
      </c>
      <c r="B43" s="40">
        <f>[1]科目余额表!$H$179</f>
        <v>50000</v>
      </c>
      <c r="C43" s="40">
        <f t="shared" si="0"/>
        <v>0</v>
      </c>
      <c r="D43" s="40">
        <v>50000</v>
      </c>
      <c r="E43" s="40">
        <v>211000</v>
      </c>
      <c r="F43" s="40">
        <f t="shared" si="1"/>
        <v>-50000</v>
      </c>
      <c r="G43" s="40">
        <v>161000</v>
      </c>
      <c r="H43" s="40">
        <v>152500</v>
      </c>
      <c r="I43" s="40">
        <f t="shared" si="2"/>
        <v>0</v>
      </c>
      <c r="J43" s="40">
        <v>152500</v>
      </c>
    </row>
    <row r="44" spans="1:10" ht="20.25" customHeight="1">
      <c r="A44" s="71" t="s">
        <v>119</v>
      </c>
      <c r="B44" s="66">
        <f>SUM(B45:B49)</f>
        <v>4779.2</v>
      </c>
      <c r="C44" s="40">
        <f t="shared" si="0"/>
        <v>349670.87784783333</v>
      </c>
      <c r="D44" s="40">
        <f>固定资产折旧计算表!C18</f>
        <v>354450.07784783334</v>
      </c>
      <c r="E44" s="66">
        <f>SUM(E45:E49)</f>
        <v>39507.19</v>
      </c>
      <c r="F44" s="40">
        <f t="shared" si="1"/>
        <v>1834050.2510199999</v>
      </c>
      <c r="G44" s="40">
        <f>固定资产折旧计算表!H18</f>
        <v>1873557.4410199998</v>
      </c>
      <c r="H44" s="66">
        <f>SUM(H45:H49)</f>
        <v>46420.47</v>
      </c>
      <c r="I44" s="40">
        <f t="shared" si="2"/>
        <v>1889248.3341948616</v>
      </c>
      <c r="J44" s="40">
        <f>固定资产折旧计算表!M18</f>
        <v>1935668.8041948616</v>
      </c>
    </row>
    <row r="45" spans="1:10" ht="15.75">
      <c r="A45" s="67" t="s">
        <v>48</v>
      </c>
      <c r="B45" s="40"/>
      <c r="C45" s="40">
        <f t="shared" si="0"/>
        <v>0</v>
      </c>
      <c r="D45" s="40"/>
      <c r="E45" s="40"/>
      <c r="F45" s="40">
        <f t="shared" si="1"/>
        <v>0</v>
      </c>
      <c r="G45" s="40"/>
      <c r="H45" s="40"/>
      <c r="I45" s="40">
        <f t="shared" si="2"/>
        <v>0</v>
      </c>
      <c r="J45" s="40"/>
    </row>
    <row r="46" spans="1:10" ht="15.75">
      <c r="A46" s="67" t="s">
        <v>49</v>
      </c>
      <c r="B46" s="40">
        <f>713.34+224.89+514.45+231.02</f>
        <v>1683.7</v>
      </c>
      <c r="C46" s="40"/>
      <c r="D46" s="40"/>
      <c r="E46" s="40">
        <f>3483.02+224.89+377.75+664.45+315.1</f>
        <v>5065.21</v>
      </c>
      <c r="F46" s="40"/>
      <c r="G46" s="40"/>
      <c r="H46" s="40">
        <f>5943.27+327.64+407.17+778.14+315.1</f>
        <v>7771.32</v>
      </c>
      <c r="I46" s="40"/>
      <c r="J46" s="40"/>
    </row>
    <row r="47" spans="1:10" ht="15.75">
      <c r="A47" s="67" t="s">
        <v>50</v>
      </c>
      <c r="B47" s="40"/>
      <c r="C47" s="40">
        <f t="shared" si="0"/>
        <v>0</v>
      </c>
      <c r="D47" s="40"/>
      <c r="E47" s="40">
        <f>127.78+3375+4906.1+433.61+16793.43</f>
        <v>25635.919999999998</v>
      </c>
      <c r="F47" s="40"/>
      <c r="G47" s="40"/>
      <c r="H47" s="40">
        <f>127.78+4708.33+5184.98+582.22+16793.42</f>
        <v>27396.73</v>
      </c>
      <c r="I47" s="40"/>
      <c r="J47" s="40"/>
    </row>
    <row r="48" spans="1:10" ht="15.75">
      <c r="A48" s="67" t="s">
        <v>51</v>
      </c>
      <c r="B48" s="40">
        <f>402.5+451.42+1848.19+393.39</f>
        <v>3095.5</v>
      </c>
      <c r="C48" s="40"/>
      <c r="D48" s="40"/>
      <c r="E48" s="40">
        <f>3162.08+642.83+281.67+3963.82+755.66</f>
        <v>8806.06</v>
      </c>
      <c r="F48" s="40"/>
      <c r="G48" s="40"/>
      <c r="H48" s="40">
        <f>3162.08+1013.55+281.67+4914.07+1881.05</f>
        <v>11252.42</v>
      </c>
      <c r="I48" s="40"/>
      <c r="J48" s="40"/>
    </row>
    <row r="49" spans="1:10" ht="15.75">
      <c r="A49" s="68" t="s">
        <v>120</v>
      </c>
      <c r="B49" s="40"/>
      <c r="C49" s="40">
        <f t="shared" si="0"/>
        <v>0</v>
      </c>
      <c r="D49" s="40"/>
      <c r="E49" s="40"/>
      <c r="F49" s="40">
        <f t="shared" si="1"/>
        <v>0</v>
      </c>
      <c r="G49" s="40"/>
      <c r="H49" s="40"/>
      <c r="I49" s="40"/>
      <c r="J49" s="40"/>
    </row>
    <row r="50" spans="1:10" ht="22.5" customHeight="1">
      <c r="A50" s="71" t="s">
        <v>121</v>
      </c>
      <c r="B50" s="40"/>
      <c r="C50" s="40">
        <f t="shared" si="0"/>
        <v>0</v>
      </c>
      <c r="D50" s="40"/>
      <c r="E50" s="40"/>
      <c r="F50" s="40">
        <f t="shared" si="1"/>
        <v>0</v>
      </c>
      <c r="G50" s="40"/>
      <c r="H50" s="40"/>
      <c r="I50" s="40"/>
      <c r="J50" s="40"/>
    </row>
    <row r="51" spans="1:10" ht="15.75">
      <c r="A51" s="66" t="s">
        <v>122</v>
      </c>
      <c r="B51" s="40">
        <f>SUM(B52:B54)</f>
        <v>12037.8</v>
      </c>
      <c r="C51" s="40">
        <f t="shared" si="0"/>
        <v>0</v>
      </c>
      <c r="D51" s="40">
        <v>12037.8</v>
      </c>
      <c r="E51" s="40">
        <f>SUM(E52:E54)</f>
        <v>29638.99</v>
      </c>
      <c r="F51" s="40">
        <f t="shared" si="1"/>
        <v>0</v>
      </c>
      <c r="G51" s="40">
        <v>29638.99</v>
      </c>
      <c r="H51" s="40">
        <f>SUM(H52:H54)</f>
        <v>28473.02</v>
      </c>
      <c r="I51" s="40">
        <f t="shared" si="2"/>
        <v>0</v>
      </c>
      <c r="J51" s="40">
        <v>28473.02</v>
      </c>
    </row>
    <row r="52" spans="1:10" ht="15.75">
      <c r="A52" s="40" t="s">
        <v>123</v>
      </c>
      <c r="B52" s="40"/>
      <c r="C52" s="40">
        <f t="shared" si="0"/>
        <v>0</v>
      </c>
      <c r="D52" s="40"/>
      <c r="E52" s="40"/>
      <c r="F52" s="40">
        <f t="shared" si="1"/>
        <v>0</v>
      </c>
      <c r="G52" s="40"/>
      <c r="H52" s="40"/>
      <c r="I52" s="40">
        <f t="shared" si="2"/>
        <v>0</v>
      </c>
      <c r="J52" s="40"/>
    </row>
    <row r="53" spans="1:10" ht="15.75">
      <c r="A53" s="40" t="s">
        <v>124</v>
      </c>
      <c r="B53" s="40">
        <f>[1]科目余额表!$H$183</f>
        <v>-4986.66</v>
      </c>
      <c r="C53" s="40">
        <f t="shared" si="0"/>
        <v>4986.66</v>
      </c>
      <c r="D53" s="40"/>
      <c r="E53" s="40"/>
      <c r="F53" s="40">
        <f t="shared" si="1"/>
        <v>0</v>
      </c>
      <c r="G53" s="40"/>
      <c r="H53" s="40"/>
      <c r="I53" s="40">
        <f t="shared" si="2"/>
        <v>0</v>
      </c>
      <c r="J53" s="40"/>
    </row>
    <row r="54" spans="1:10" ht="15.75">
      <c r="A54" s="40" t="s">
        <v>125</v>
      </c>
      <c r="B54" s="40">
        <f>[1]科目余额表!$H$182</f>
        <v>17024.46</v>
      </c>
      <c r="C54" s="40">
        <f t="shared" si="0"/>
        <v>-17024.46</v>
      </c>
      <c r="D54" s="40"/>
      <c r="E54" s="40">
        <v>29638.99</v>
      </c>
      <c r="F54" s="40">
        <f t="shared" si="1"/>
        <v>0</v>
      </c>
      <c r="G54" s="40">
        <v>29638.99</v>
      </c>
      <c r="H54" s="40">
        <v>28473.02</v>
      </c>
      <c r="I54" s="40">
        <f t="shared" si="2"/>
        <v>0</v>
      </c>
      <c r="J54" s="40">
        <v>28473.02</v>
      </c>
    </row>
    <row r="55" spans="1:10" ht="15.75">
      <c r="A55" s="66" t="s">
        <v>126</v>
      </c>
      <c r="B55" s="40">
        <f>B5+B12+B37+B44+B50+B51</f>
        <v>8312888.9800000004</v>
      </c>
      <c r="C55" s="40">
        <f t="shared" ref="C55:J55" si="3">C5+C12+C37+C44+C50+C51</f>
        <v>-5492789.7021521665</v>
      </c>
      <c r="D55" s="40">
        <f>D5+D12+D37+D44+D50+D51</f>
        <v>2820099.277847833</v>
      </c>
      <c r="E55" s="40">
        <f t="shared" si="3"/>
        <v>25416039.499999996</v>
      </c>
      <c r="F55" s="40">
        <f t="shared" si="1"/>
        <v>-13953533.488979997</v>
      </c>
      <c r="G55" s="40">
        <f>G5+G12+G37+G44+G50+G51</f>
        <v>11462506.011019999</v>
      </c>
      <c r="H55" s="40">
        <f t="shared" si="3"/>
        <v>43461129.789999999</v>
      </c>
      <c r="I55" s="40">
        <f t="shared" si="2"/>
        <v>-26232513.095805138</v>
      </c>
      <c r="J55" s="40">
        <f t="shared" si="3"/>
        <v>17228616.694194861</v>
      </c>
    </row>
  </sheetData>
  <mergeCells count="1">
    <mergeCell ref="A2:J2"/>
  </mergeCells>
  <phoneticPr fontId="38" type="noConversion"/>
  <pageMargins left="0.51181102362204722" right="0.51181102362204722" top="0.74803149606299213" bottom="0.74803149606299213" header="0.31496062992125984" footer="0.31496062992125984"/>
  <pageSetup paperSize="9" orientation="landscape" r:id="rId1"/>
  <headerFooter>
    <oddFooter>&amp;C第 &amp;P 页，共 &amp;N 页</oddFooter>
  </headerFooter>
  <legacyDrawing r:id="rId2"/>
</worksheet>
</file>

<file path=xl/worksheets/sheet5.xml><?xml version="1.0" encoding="utf-8"?>
<worksheet xmlns="http://schemas.openxmlformats.org/spreadsheetml/2006/main" xmlns:r="http://schemas.openxmlformats.org/officeDocument/2006/relationships">
  <dimension ref="A1:D28"/>
  <sheetViews>
    <sheetView workbookViewId="0">
      <selection activeCell="A2" sqref="A2:D2"/>
    </sheetView>
  </sheetViews>
  <sheetFormatPr defaultColWidth="9" defaultRowHeight="13.5"/>
  <cols>
    <col min="1" max="1" width="37.75" customWidth="1"/>
    <col min="2" max="4" width="16.875" customWidth="1"/>
  </cols>
  <sheetData>
    <row r="1" spans="1:4" ht="21">
      <c r="A1" s="44" t="s">
        <v>127</v>
      </c>
      <c r="B1" s="45"/>
    </row>
    <row r="2" spans="1:4" ht="25.5" customHeight="1">
      <c r="A2" s="155" t="s">
        <v>303</v>
      </c>
      <c r="B2" s="155"/>
      <c r="C2" s="155"/>
      <c r="D2" s="155"/>
    </row>
    <row r="3" spans="1:4">
      <c r="A3" s="156"/>
      <c r="B3" s="156"/>
    </row>
    <row r="4" spans="1:4" ht="43.5" customHeight="1">
      <c r="A4" s="46" t="s">
        <v>128</v>
      </c>
      <c r="B4" s="47" t="s">
        <v>129</v>
      </c>
      <c r="C4" s="47" t="s">
        <v>20</v>
      </c>
      <c r="D4" s="47" t="s">
        <v>21</v>
      </c>
    </row>
    <row r="5" spans="1:4" ht="24" customHeight="1">
      <c r="A5" s="48" t="s">
        <v>130</v>
      </c>
      <c r="B5" s="49"/>
      <c r="C5" s="49"/>
      <c r="D5" s="49"/>
    </row>
    <row r="6" spans="1:4" ht="24" customHeight="1">
      <c r="A6" s="50" t="s">
        <v>131</v>
      </c>
      <c r="B6" s="51">
        <v>126</v>
      </c>
      <c r="C6" s="51">
        <v>599</v>
      </c>
      <c r="D6" s="51">
        <v>975</v>
      </c>
    </row>
    <row r="7" spans="1:4" ht="24" customHeight="1">
      <c r="A7" s="50" t="s">
        <v>132</v>
      </c>
      <c r="B7" s="51">
        <v>14</v>
      </c>
      <c r="C7" s="51">
        <v>66</v>
      </c>
      <c r="D7" s="51">
        <v>102</v>
      </c>
    </row>
    <row r="8" spans="1:4" ht="24" customHeight="1">
      <c r="A8" s="52" t="s">
        <v>133</v>
      </c>
      <c r="B8" s="53"/>
      <c r="C8" s="53"/>
      <c r="D8" s="53"/>
    </row>
    <row r="9" spans="1:4" ht="24" customHeight="1">
      <c r="A9" s="54" t="s">
        <v>134</v>
      </c>
      <c r="B9" s="55">
        <v>15</v>
      </c>
      <c r="C9" s="55">
        <v>15</v>
      </c>
      <c r="D9" s="55">
        <v>11</v>
      </c>
    </row>
    <row r="10" spans="1:4" ht="24" customHeight="1">
      <c r="A10" s="52" t="s">
        <v>135</v>
      </c>
      <c r="B10" s="55"/>
      <c r="C10" s="55"/>
      <c r="D10" s="55"/>
    </row>
    <row r="11" spans="1:4" ht="24" customHeight="1">
      <c r="A11" s="50" t="s">
        <v>136</v>
      </c>
      <c r="B11" s="55">
        <v>19.38</v>
      </c>
      <c r="C11" s="55">
        <v>18.86</v>
      </c>
      <c r="D11" s="55">
        <v>19.079999999999998</v>
      </c>
    </row>
    <row r="12" spans="1:4" ht="24" customHeight="1">
      <c r="A12" s="50" t="s">
        <v>137</v>
      </c>
      <c r="B12" s="55">
        <f>[2]基本情况表!B11/[2]基本情况表!B18</f>
        <v>12</v>
      </c>
      <c r="C12" s="55">
        <v>13.72</v>
      </c>
      <c r="D12" s="55">
        <v>13.41</v>
      </c>
    </row>
    <row r="13" spans="1:4" ht="24" customHeight="1">
      <c r="A13" s="50" t="s">
        <v>138</v>
      </c>
      <c r="B13" s="55"/>
      <c r="C13" s="55"/>
      <c r="D13" s="55"/>
    </row>
    <row r="14" spans="1:4" ht="24" customHeight="1">
      <c r="A14" s="52" t="s">
        <v>139</v>
      </c>
      <c r="B14" s="56">
        <f>SUM(B15:B20)</f>
        <v>2820099.277847833</v>
      </c>
      <c r="C14" s="56">
        <f>SUM(C15:C20)</f>
        <v>11462506.011019999</v>
      </c>
      <c r="D14" s="56">
        <f>SUM(D15:D20)</f>
        <v>17228616.694194861</v>
      </c>
    </row>
    <row r="15" spans="1:4" ht="24" customHeight="1">
      <c r="A15" s="50" t="s">
        <v>140</v>
      </c>
      <c r="B15" s="57">
        <f>教育成本归集表!D5</f>
        <v>1512303</v>
      </c>
      <c r="C15" s="57">
        <f>教育成本归集表!G5</f>
        <v>7336332.8799999999</v>
      </c>
      <c r="D15" s="57">
        <f>教育成本归集表!J5</f>
        <v>12763469.85</v>
      </c>
    </row>
    <row r="16" spans="1:4" ht="24" customHeight="1">
      <c r="A16" s="50" t="s">
        <v>141</v>
      </c>
      <c r="B16" s="57">
        <f>教育成本归集表!D12</f>
        <v>891308.4</v>
      </c>
      <c r="C16" s="57">
        <f>教育成本归集表!G12</f>
        <v>1963872.0899999999</v>
      </c>
      <c r="D16" s="57">
        <f>教育成本归集表!J12</f>
        <v>2280577.0199999996</v>
      </c>
    </row>
    <row r="17" spans="1:4" ht="24" customHeight="1">
      <c r="A17" s="50" t="s">
        <v>142</v>
      </c>
      <c r="B17" s="57">
        <f>教育成本归集表!D37</f>
        <v>50000</v>
      </c>
      <c r="C17" s="57">
        <f>教育成本归集表!G37</f>
        <v>259104.61</v>
      </c>
      <c r="D17" s="57">
        <f>教育成本归集表!J37</f>
        <v>220428</v>
      </c>
    </row>
    <row r="18" spans="1:4" ht="24" customHeight="1">
      <c r="A18" s="50" t="s">
        <v>143</v>
      </c>
      <c r="B18" s="57">
        <f>教育成本归集表!D44</f>
        <v>354450.07784783334</v>
      </c>
      <c r="C18" s="57">
        <f>教育成本归集表!G44</f>
        <v>1873557.4410199998</v>
      </c>
      <c r="D18" s="57">
        <f>教育成本归集表!J44</f>
        <v>1935668.8041948616</v>
      </c>
    </row>
    <row r="19" spans="1:4" ht="24" customHeight="1">
      <c r="A19" s="58" t="s">
        <v>144</v>
      </c>
      <c r="B19" s="57">
        <f>教育成本归集表!B50</f>
        <v>0</v>
      </c>
      <c r="C19" s="57">
        <f>教育成本归集表!E50</f>
        <v>0</v>
      </c>
      <c r="D19" s="57">
        <f>教育成本归集表!J50</f>
        <v>0</v>
      </c>
    </row>
    <row r="20" spans="1:4" ht="24" customHeight="1">
      <c r="A20" s="50" t="s">
        <v>145</v>
      </c>
      <c r="B20" s="57">
        <f>教育成本归集表!D51</f>
        <v>12037.8</v>
      </c>
      <c r="C20" s="57">
        <f>教育成本归集表!G51</f>
        <v>29638.99</v>
      </c>
      <c r="D20" s="57">
        <f>教育成本归集表!J51</f>
        <v>28473.02</v>
      </c>
    </row>
    <row r="21" spans="1:4" ht="24" customHeight="1">
      <c r="A21" s="52" t="s">
        <v>146</v>
      </c>
      <c r="B21" s="59">
        <v>191700</v>
      </c>
      <c r="C21" s="59">
        <v>731400</v>
      </c>
      <c r="D21" s="59">
        <v>1034600</v>
      </c>
    </row>
    <row r="22" spans="1:4" ht="24" customHeight="1">
      <c r="A22" s="52" t="s">
        <v>280</v>
      </c>
      <c r="B22" s="57">
        <f>B14-B21</f>
        <v>2628399.277847833</v>
      </c>
      <c r="C22" s="57">
        <f t="shared" ref="C22:D22" si="0">C14-C21</f>
        <v>10731106.011019999</v>
      </c>
      <c r="D22" s="57">
        <f t="shared" si="0"/>
        <v>16194016.694194861</v>
      </c>
    </row>
    <row r="23" spans="1:4" ht="24" customHeight="1">
      <c r="A23" s="52" t="s">
        <v>147</v>
      </c>
      <c r="B23" s="56">
        <f>B22/B6</f>
        <v>20860.311728951056</v>
      </c>
      <c r="C23" s="56">
        <f t="shared" ref="C23:D23" si="1">C22/C6</f>
        <v>17915.035076828044</v>
      </c>
      <c r="D23" s="56">
        <f t="shared" si="1"/>
        <v>16609.247891481908</v>
      </c>
    </row>
    <row r="24" spans="1:4" ht="24" customHeight="1">
      <c r="A24" s="50" t="s">
        <v>148</v>
      </c>
      <c r="B24" s="57">
        <f>B23*0.56</f>
        <v>11681.774568212591</v>
      </c>
      <c r="C24" s="57">
        <f t="shared" ref="C24:D24" si="2">C23*0.56</f>
        <v>10032.419643023706</v>
      </c>
      <c r="D24" s="57">
        <f t="shared" si="2"/>
        <v>9301.17881922987</v>
      </c>
    </row>
    <row r="25" spans="1:4" ht="24" customHeight="1">
      <c r="A25" s="50" t="s">
        <v>149</v>
      </c>
      <c r="B25" s="57">
        <f>B23*0.8</f>
        <v>16688.249383160844</v>
      </c>
      <c r="C25" s="57">
        <f t="shared" ref="C25:D25" si="3">C23*0.8</f>
        <v>14332.028061462435</v>
      </c>
      <c r="D25" s="57">
        <f t="shared" si="3"/>
        <v>13287.398313185528</v>
      </c>
    </row>
    <row r="26" spans="1:4" ht="24" customHeight="1">
      <c r="A26" s="50" t="s">
        <v>281</v>
      </c>
      <c r="B26" s="157">
        <f>(B24+C24+D24)/3</f>
        <v>10338.457676822056</v>
      </c>
      <c r="C26" s="158"/>
      <c r="D26" s="159"/>
    </row>
    <row r="27" spans="1:4" ht="27.75" customHeight="1">
      <c r="A27" s="50" t="s">
        <v>282</v>
      </c>
      <c r="B27" s="160">
        <f>(B25+C25+D25)/3</f>
        <v>14769.225252602935</v>
      </c>
      <c r="C27" s="161"/>
      <c r="D27" s="162"/>
    </row>
    <row r="28" spans="1:4">
      <c r="A28" s="26"/>
      <c r="B28" s="26"/>
      <c r="C28" s="26"/>
      <c r="D28" s="26"/>
    </row>
  </sheetData>
  <mergeCells count="4">
    <mergeCell ref="A2:D2"/>
    <mergeCell ref="A3:B3"/>
    <mergeCell ref="B26:D26"/>
    <mergeCell ref="B27:D27"/>
  </mergeCells>
  <phoneticPr fontId="3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E27"/>
  <sheetViews>
    <sheetView workbookViewId="0">
      <selection activeCell="G12" sqref="G12"/>
    </sheetView>
  </sheetViews>
  <sheetFormatPr defaultColWidth="9" defaultRowHeight="13.5"/>
  <cols>
    <col min="1" max="1" width="15" customWidth="1"/>
    <col min="2" max="2" width="13.25" customWidth="1"/>
    <col min="3" max="3" width="13.125" customWidth="1"/>
    <col min="4" max="4" width="12.875" customWidth="1"/>
    <col min="5" max="5" width="12.125" customWidth="1"/>
  </cols>
  <sheetData>
    <row r="1" spans="1:5" ht="25.5">
      <c r="A1" s="154" t="s">
        <v>294</v>
      </c>
      <c r="B1" s="154"/>
      <c r="C1" s="154"/>
      <c r="D1" s="154"/>
      <c r="E1" s="154"/>
    </row>
    <row r="2" spans="1:5" ht="33" customHeight="1">
      <c r="A2" s="28" t="s">
        <v>150</v>
      </c>
      <c r="B2" s="28" t="s">
        <v>151</v>
      </c>
      <c r="C2" s="28" t="s">
        <v>152</v>
      </c>
      <c r="D2" s="28" t="s">
        <v>153</v>
      </c>
      <c r="E2" s="29" t="s">
        <v>154</v>
      </c>
    </row>
    <row r="3" spans="1:5" ht="21.95" customHeight="1">
      <c r="A3" s="42" t="s">
        <v>155</v>
      </c>
      <c r="B3" s="32"/>
      <c r="C3" s="32"/>
      <c r="D3" s="32"/>
      <c r="E3" s="32"/>
    </row>
    <row r="4" spans="1:5" ht="21.95" customHeight="1">
      <c r="A4" s="32" t="s">
        <v>156</v>
      </c>
      <c r="B4" s="32">
        <v>13</v>
      </c>
      <c r="C4" s="32">
        <v>0</v>
      </c>
      <c r="D4" s="32">
        <v>465</v>
      </c>
      <c r="E4" s="33">
        <f>(C4*8+D4*4)/12</f>
        <v>155</v>
      </c>
    </row>
    <row r="5" spans="1:5" ht="21.95" customHeight="1">
      <c r="A5" s="32" t="s">
        <v>157</v>
      </c>
      <c r="B5" s="32">
        <f>15+22</f>
        <v>37</v>
      </c>
      <c r="C5" s="32">
        <v>618</v>
      </c>
      <c r="D5" s="32">
        <v>914</v>
      </c>
      <c r="E5" s="33">
        <f>(C5*8+D5*4)/12</f>
        <v>716.66666666666663</v>
      </c>
    </row>
    <row r="6" spans="1:5" ht="21.95" customHeight="1">
      <c r="A6" s="32" t="s">
        <v>158</v>
      </c>
      <c r="B6" s="32">
        <f>24+23</f>
        <v>47</v>
      </c>
      <c r="C6" s="32">
        <v>967</v>
      </c>
      <c r="D6" s="32">
        <v>929</v>
      </c>
      <c r="E6" s="33">
        <f t="shared" ref="E6:E14" si="0">(C6*8+D6*4)/12</f>
        <v>954.33333333333337</v>
      </c>
    </row>
    <row r="7" spans="1:5" ht="21.95" customHeight="1">
      <c r="A7" s="32" t="s">
        <v>159</v>
      </c>
      <c r="B7" s="32">
        <f>SUM(B4:B6)</f>
        <v>97</v>
      </c>
      <c r="C7" s="32">
        <f>SUM(C4:C6)</f>
        <v>1585</v>
      </c>
      <c r="D7" s="32">
        <f>SUM(D4:D6)</f>
        <v>2308</v>
      </c>
      <c r="E7" s="33">
        <f t="shared" si="0"/>
        <v>1826</v>
      </c>
    </row>
    <row r="8" spans="1:5" ht="15.75">
      <c r="A8" s="43"/>
      <c r="B8" s="43"/>
      <c r="C8" s="43"/>
      <c r="D8" s="43"/>
      <c r="E8" s="33">
        <f t="shared" si="0"/>
        <v>0</v>
      </c>
    </row>
    <row r="9" spans="1:5" ht="33" customHeight="1">
      <c r="A9" s="28" t="s">
        <v>150</v>
      </c>
      <c r="B9" s="28" t="s">
        <v>151</v>
      </c>
      <c r="C9" s="28" t="s">
        <v>152</v>
      </c>
      <c r="D9" s="28" t="s">
        <v>153</v>
      </c>
      <c r="E9" s="33"/>
    </row>
    <row r="10" spans="1:5" ht="23.1" customHeight="1">
      <c r="A10" s="42" t="s">
        <v>161</v>
      </c>
      <c r="B10" s="32"/>
      <c r="C10" s="32"/>
      <c r="D10" s="32"/>
      <c r="E10" s="33">
        <f t="shared" si="0"/>
        <v>0</v>
      </c>
    </row>
    <row r="11" spans="1:5" ht="23.1" customHeight="1">
      <c r="A11" s="32" t="s">
        <v>156</v>
      </c>
      <c r="B11" s="32">
        <v>3</v>
      </c>
      <c r="C11" s="32">
        <v>0</v>
      </c>
      <c r="D11" s="32">
        <v>144</v>
      </c>
      <c r="E11" s="33">
        <f>(C11*8+D11*4)/12</f>
        <v>48</v>
      </c>
    </row>
    <row r="12" spans="1:5" ht="23.1" customHeight="1">
      <c r="A12" s="32" t="s">
        <v>157</v>
      </c>
      <c r="B12" s="32">
        <f>3+10</f>
        <v>13</v>
      </c>
      <c r="C12" s="32">
        <v>156</v>
      </c>
      <c r="D12" s="32">
        <v>428</v>
      </c>
      <c r="E12" s="33">
        <f t="shared" si="0"/>
        <v>246.66666666666666</v>
      </c>
    </row>
    <row r="13" spans="1:5" ht="23.1" customHeight="1">
      <c r="A13" s="32" t="s">
        <v>158</v>
      </c>
      <c r="B13" s="32">
        <f>10+17</f>
        <v>27</v>
      </c>
      <c r="C13" s="32">
        <v>443</v>
      </c>
      <c r="D13" s="32">
        <v>764</v>
      </c>
      <c r="E13" s="33">
        <f t="shared" si="0"/>
        <v>550</v>
      </c>
    </row>
    <row r="14" spans="1:5" ht="23.1" customHeight="1">
      <c r="A14" s="32" t="s">
        <v>159</v>
      </c>
      <c r="B14" s="32">
        <f>SUM(B11:B13)</f>
        <v>43</v>
      </c>
      <c r="C14" s="32">
        <f>SUM(C11:C13)</f>
        <v>599</v>
      </c>
      <c r="D14" s="32">
        <f>SUM(D11:D13)</f>
        <v>1336</v>
      </c>
      <c r="E14" s="33">
        <f t="shared" si="0"/>
        <v>844.66666666666663</v>
      </c>
    </row>
    <row r="15" spans="1:5" ht="15.75">
      <c r="A15" s="43"/>
      <c r="B15" s="43"/>
      <c r="C15" s="43"/>
      <c r="D15" s="43"/>
      <c r="E15" s="43"/>
    </row>
    <row r="16" spans="1:5" ht="35.1" customHeight="1">
      <c r="A16" s="28"/>
      <c r="B16" s="28" t="s">
        <v>151</v>
      </c>
      <c r="C16" s="28" t="s">
        <v>152</v>
      </c>
      <c r="D16" s="28" t="s">
        <v>153</v>
      </c>
      <c r="E16" s="28" t="s">
        <v>160</v>
      </c>
    </row>
    <row r="17" spans="1:5" ht="21.95" customHeight="1">
      <c r="A17" s="42" t="s">
        <v>162</v>
      </c>
      <c r="B17" s="32"/>
      <c r="C17" s="32"/>
      <c r="D17" s="32"/>
      <c r="E17" s="32"/>
    </row>
    <row r="18" spans="1:5" ht="21.95" customHeight="1">
      <c r="A18" s="32">
        <v>2020</v>
      </c>
      <c r="B18" s="32">
        <v>7</v>
      </c>
      <c r="C18" s="32"/>
      <c r="D18" s="32">
        <v>345</v>
      </c>
      <c r="E18" s="33">
        <f t="shared" ref="E18:E19" si="1">(C18*8+D18*4)/12</f>
        <v>115</v>
      </c>
    </row>
    <row r="19" spans="1:5" ht="21.95" customHeight="1">
      <c r="A19" s="32">
        <v>2021</v>
      </c>
      <c r="B19" s="32"/>
      <c r="C19" s="32">
        <v>331</v>
      </c>
      <c r="D19" s="32">
        <v>928</v>
      </c>
      <c r="E19" s="33">
        <f t="shared" si="1"/>
        <v>530</v>
      </c>
    </row>
    <row r="20" spans="1:5" ht="21.95" customHeight="1">
      <c r="A20" s="32"/>
      <c r="B20" s="32"/>
      <c r="C20" s="32"/>
      <c r="D20" s="32"/>
      <c r="E20" s="32"/>
    </row>
    <row r="21" spans="1:5" ht="21.95" customHeight="1">
      <c r="A21" s="32" t="s">
        <v>159</v>
      </c>
      <c r="B21" s="32">
        <f>SUM(B18:B20)</f>
        <v>7</v>
      </c>
      <c r="C21" s="32">
        <f>SUM(C18:C20)</f>
        <v>331</v>
      </c>
      <c r="D21" s="32">
        <f>SUM(D18:D20)</f>
        <v>1273</v>
      </c>
      <c r="E21" s="33"/>
    </row>
    <row r="22" spans="1:5" ht="15.75">
      <c r="A22" s="43"/>
      <c r="B22" s="43"/>
      <c r="C22" s="43"/>
      <c r="D22" s="43"/>
      <c r="E22" s="43"/>
    </row>
    <row r="23" spans="1:5" ht="24" customHeight="1">
      <c r="A23" s="117" t="s">
        <v>237</v>
      </c>
      <c r="B23" s="33" t="s">
        <v>233</v>
      </c>
      <c r="C23" s="33" t="s">
        <v>234</v>
      </c>
      <c r="D23" s="33" t="s">
        <v>235</v>
      </c>
      <c r="E23" s="33"/>
    </row>
    <row r="24" spans="1:5" ht="27" customHeight="1">
      <c r="A24" s="26" t="s">
        <v>236</v>
      </c>
      <c r="B24" s="26">
        <f>E4*0.56+E11*0.8</f>
        <v>125.20000000000002</v>
      </c>
      <c r="C24" s="26">
        <f>E5*0.56+E12*0.8</f>
        <v>598.66666666666674</v>
      </c>
      <c r="D24" s="26">
        <f>E6*0.56+E13*0.8</f>
        <v>974.42666666666673</v>
      </c>
      <c r="E24" s="118" t="s">
        <v>279</v>
      </c>
    </row>
    <row r="25" spans="1:5" ht="26.25" customHeight="1">
      <c r="A25" s="118" t="s">
        <v>238</v>
      </c>
      <c r="B25" s="119">
        <f>E4+E11</f>
        <v>203</v>
      </c>
      <c r="C25" s="119">
        <f>E5+E12</f>
        <v>963.33333333333326</v>
      </c>
      <c r="D25" s="119">
        <f>E6+E13</f>
        <v>1504.3333333333335</v>
      </c>
      <c r="E25" s="26"/>
    </row>
    <row r="26" spans="1:5" ht="24" customHeight="1">
      <c r="A26" s="118" t="s">
        <v>284</v>
      </c>
      <c r="B26" s="26">
        <f>B24</f>
        <v>125.20000000000002</v>
      </c>
      <c r="C26" s="119">
        <f>C24+E18</f>
        <v>713.66666666666674</v>
      </c>
      <c r="D26" s="119">
        <f>D24+E19</f>
        <v>1504.4266666666667</v>
      </c>
      <c r="E26" s="26"/>
    </row>
    <row r="27" spans="1:5" ht="22.5" customHeight="1">
      <c r="A27" s="142" t="s">
        <v>285</v>
      </c>
      <c r="B27" s="119">
        <f>B25</f>
        <v>203</v>
      </c>
      <c r="C27" s="119">
        <f>C25+E18</f>
        <v>1078.3333333333333</v>
      </c>
      <c r="D27" s="119">
        <f>E19+D25</f>
        <v>2034.3333333333335</v>
      </c>
      <c r="E27" s="26"/>
    </row>
  </sheetData>
  <mergeCells count="1">
    <mergeCell ref="A1:E1"/>
  </mergeCells>
  <phoneticPr fontId="38" type="noConversion"/>
  <printOptions horizontalCentered="1"/>
  <pageMargins left="0.70069444444444495" right="0.70069444444444495" top="0.75138888888888899" bottom="0.75138888888888899" header="0.29861111111111099" footer="0.29861111111111099"/>
  <pageSetup paperSize="9" orientation="portrait" r:id="rId1"/>
</worksheet>
</file>

<file path=xl/worksheets/sheet7.xml><?xml version="1.0" encoding="utf-8"?>
<worksheet xmlns="http://schemas.openxmlformats.org/spreadsheetml/2006/main" xmlns:r="http://schemas.openxmlformats.org/officeDocument/2006/relationships">
  <dimension ref="A1:M49"/>
  <sheetViews>
    <sheetView topLeftCell="A21" workbookViewId="0">
      <selection activeCell="J35" sqref="J35"/>
    </sheetView>
  </sheetViews>
  <sheetFormatPr defaultColWidth="9" defaultRowHeight="13.5"/>
  <cols>
    <col min="1" max="1" width="23.625" customWidth="1"/>
    <col min="2" max="2" width="10.25" customWidth="1"/>
    <col min="3" max="3" width="9.625" customWidth="1"/>
    <col min="9" max="9" width="20" customWidth="1"/>
    <col min="10" max="10" width="14.75" customWidth="1"/>
    <col min="11" max="11" width="15" customWidth="1"/>
    <col min="12" max="12" width="15.625" customWidth="1"/>
    <col min="13" max="13" width="13.625" customWidth="1"/>
  </cols>
  <sheetData>
    <row r="1" spans="1:13" ht="25.5">
      <c r="A1" s="154" t="s">
        <v>295</v>
      </c>
      <c r="B1" s="154"/>
      <c r="C1" s="154"/>
      <c r="D1" s="154"/>
      <c r="E1" s="154"/>
      <c r="F1" s="154"/>
      <c r="G1" s="154"/>
      <c r="H1" s="26"/>
      <c r="I1" s="163" t="s">
        <v>296</v>
      </c>
      <c r="J1" s="164"/>
      <c r="K1" s="164"/>
      <c r="L1" s="164"/>
      <c r="M1" s="164"/>
    </row>
    <row r="2" spans="1:13" ht="28.5">
      <c r="A2" s="28" t="s">
        <v>163</v>
      </c>
      <c r="B2" s="120" t="s">
        <v>239</v>
      </c>
      <c r="C2" s="120" t="s">
        <v>240</v>
      </c>
      <c r="D2" s="29" t="s">
        <v>164</v>
      </c>
      <c r="E2" s="29" t="s">
        <v>165</v>
      </c>
      <c r="F2" s="29" t="s">
        <v>154</v>
      </c>
      <c r="G2" s="123" t="s">
        <v>166</v>
      </c>
      <c r="H2" s="26"/>
      <c r="I2" s="29" t="s">
        <v>249</v>
      </c>
      <c r="J2" s="29" t="s">
        <v>250</v>
      </c>
      <c r="K2" s="29" t="s">
        <v>254</v>
      </c>
      <c r="L2" s="29" t="s">
        <v>265</v>
      </c>
      <c r="M2" s="29"/>
    </row>
    <row r="3" spans="1:13" ht="15.75">
      <c r="A3" s="30" t="s">
        <v>167</v>
      </c>
      <c r="B3" s="28"/>
      <c r="C3" s="28"/>
      <c r="D3" s="122">
        <f t="shared" ref="D3" si="0">D6+D7+D10+D14+D15+D16+D17+D9+D8</f>
        <v>17</v>
      </c>
      <c r="E3" s="122">
        <f>E6+E7+E10+E14+E15+E16+E17+E9+E8</f>
        <v>13.780529755761949</v>
      </c>
      <c r="F3" s="122">
        <f t="shared" ref="F3:G3" si="1">F6+F7+F10+F14+F15+F16+F17+F9+F8</f>
        <v>14</v>
      </c>
      <c r="G3" s="124">
        <f t="shared" si="1"/>
        <v>52</v>
      </c>
      <c r="H3" s="126" t="s">
        <v>251</v>
      </c>
      <c r="I3" s="26">
        <v>81700</v>
      </c>
      <c r="J3" s="26">
        <v>14</v>
      </c>
      <c r="K3" s="26">
        <f>I3*J3</f>
        <v>1143800</v>
      </c>
      <c r="L3" s="26">
        <f>K3*1.2</f>
        <v>1372560</v>
      </c>
      <c r="M3" s="26"/>
    </row>
    <row r="4" spans="1:13" ht="15.75">
      <c r="A4" s="31" t="s">
        <v>168</v>
      </c>
      <c r="B4" s="32"/>
      <c r="C4" s="32"/>
      <c r="D4" s="33"/>
      <c r="E4" s="34"/>
      <c r="F4" s="35"/>
      <c r="G4" s="125"/>
      <c r="H4" s="126" t="s">
        <v>252</v>
      </c>
      <c r="I4" s="26">
        <v>84000</v>
      </c>
      <c r="J4" s="26">
        <v>66</v>
      </c>
      <c r="K4" s="26">
        <f>I4*J4</f>
        <v>5544000</v>
      </c>
      <c r="L4" s="26">
        <f>K4*1.2</f>
        <v>6652800</v>
      </c>
      <c r="M4" s="26"/>
    </row>
    <row r="5" spans="1:13" ht="15.75">
      <c r="A5" s="36" t="s">
        <v>34</v>
      </c>
      <c r="B5" s="32"/>
      <c r="C5" s="32"/>
      <c r="D5" s="33"/>
      <c r="E5" s="33"/>
      <c r="F5" s="34"/>
      <c r="G5" s="125"/>
      <c r="H5" s="126" t="s">
        <v>253</v>
      </c>
      <c r="I5" s="26">
        <v>86300</v>
      </c>
      <c r="J5" s="26">
        <v>107</v>
      </c>
      <c r="K5" s="26">
        <f>I5*J5</f>
        <v>9234100</v>
      </c>
      <c r="L5" s="26">
        <f>K5*1.2</f>
        <v>11080920</v>
      </c>
      <c r="M5" s="26"/>
    </row>
    <row r="6" spans="1:13" ht="15.75">
      <c r="A6" s="37" t="s">
        <v>169</v>
      </c>
      <c r="B6" s="32"/>
      <c r="C6" s="32">
        <v>30</v>
      </c>
      <c r="D6" s="32">
        <f>(B6*8+C6*4)/12</f>
        <v>10</v>
      </c>
      <c r="E6" s="33">
        <v>8.1578947368421009</v>
      </c>
      <c r="F6" s="35">
        <v>8</v>
      </c>
      <c r="G6" s="35">
        <v>2</v>
      </c>
    </row>
    <row r="7" spans="1:13" ht="15.75">
      <c r="A7" s="37" t="s">
        <v>170</v>
      </c>
      <c r="B7" s="32"/>
      <c r="C7" s="32">
        <v>12</v>
      </c>
      <c r="D7" s="32">
        <f>(B7*8+C7*4)/12</f>
        <v>4</v>
      </c>
      <c r="E7" s="33">
        <f>48/13.5</f>
        <v>3.5555555555555554</v>
      </c>
      <c r="F7" s="35">
        <v>4</v>
      </c>
      <c r="G7" s="35">
        <v>0</v>
      </c>
    </row>
    <row r="8" spans="1:13" ht="15.75">
      <c r="A8" s="37" t="s">
        <v>171</v>
      </c>
      <c r="B8" s="32"/>
      <c r="C8" s="32"/>
      <c r="D8" s="32"/>
      <c r="E8" s="33"/>
      <c r="F8" s="35"/>
      <c r="G8" s="35"/>
    </row>
    <row r="9" spans="1:13" ht="15.75">
      <c r="A9" s="38" t="s">
        <v>38</v>
      </c>
      <c r="B9" s="32"/>
      <c r="C9" s="32"/>
      <c r="D9" s="32"/>
      <c r="E9" s="33"/>
      <c r="F9" s="35"/>
      <c r="G9" s="39"/>
    </row>
    <row r="10" spans="1:13" ht="15.75">
      <c r="A10" s="36" t="s">
        <v>39</v>
      </c>
      <c r="B10" s="32"/>
      <c r="C10" s="32">
        <v>3</v>
      </c>
      <c r="D10" s="32">
        <v>3</v>
      </c>
      <c r="E10" s="165">
        <f>(E6+E7)/85*15</f>
        <v>2.0670794633642919</v>
      </c>
      <c r="F10" s="166">
        <v>2</v>
      </c>
      <c r="G10" s="167">
        <v>50</v>
      </c>
    </row>
    <row r="11" spans="1:13" ht="15.75">
      <c r="A11" s="36" t="s">
        <v>40</v>
      </c>
      <c r="B11" s="32"/>
      <c r="C11" s="32">
        <v>2</v>
      </c>
      <c r="D11" s="32">
        <v>2</v>
      </c>
      <c r="E11" s="165"/>
      <c r="F11" s="166"/>
      <c r="G11" s="168"/>
    </row>
    <row r="12" spans="1:13" ht="15.75">
      <c r="A12" s="36" t="s">
        <v>41</v>
      </c>
      <c r="B12" s="32"/>
      <c r="C12" s="32">
        <v>42</v>
      </c>
      <c r="D12" s="32">
        <v>42</v>
      </c>
      <c r="E12" s="165"/>
      <c r="F12" s="166"/>
      <c r="G12" s="169"/>
    </row>
    <row r="13" spans="1:13" ht="15.75">
      <c r="A13" s="40" t="s">
        <v>42</v>
      </c>
      <c r="B13" s="32"/>
      <c r="C13" s="32">
        <v>13</v>
      </c>
      <c r="D13" s="32"/>
      <c r="E13" s="41"/>
      <c r="F13" s="41"/>
      <c r="G13" s="41"/>
    </row>
    <row r="14" spans="1:13" ht="15.75">
      <c r="A14" s="40" t="s">
        <v>43</v>
      </c>
      <c r="B14" s="32"/>
      <c r="C14" s="32"/>
      <c r="D14" s="32"/>
      <c r="E14" s="41"/>
      <c r="F14" s="41"/>
      <c r="G14" s="41"/>
    </row>
    <row r="15" spans="1:13" ht="15.75">
      <c r="A15" s="40" t="s">
        <v>44</v>
      </c>
      <c r="B15" s="32"/>
      <c r="C15" s="32"/>
      <c r="D15" s="32"/>
      <c r="E15" s="41"/>
      <c r="F15" s="41"/>
      <c r="G15" s="41"/>
    </row>
    <row r="16" spans="1:13" ht="15.75">
      <c r="A16" s="40" t="s">
        <v>45</v>
      </c>
      <c r="B16" s="32"/>
      <c r="C16" s="32">
        <v>13</v>
      </c>
      <c r="D16" s="32"/>
      <c r="E16" s="41"/>
      <c r="F16" s="41"/>
      <c r="G16" s="41"/>
    </row>
    <row r="17" spans="1:7" ht="15.75">
      <c r="A17" s="40" t="s">
        <v>46</v>
      </c>
      <c r="B17" s="32"/>
      <c r="C17" s="32"/>
      <c r="D17" s="32"/>
      <c r="E17" s="41"/>
      <c r="F17" s="41"/>
      <c r="G17" s="41"/>
    </row>
    <row r="18" spans="1:7" ht="28.5">
      <c r="A18" s="28" t="s">
        <v>163</v>
      </c>
      <c r="B18" s="120" t="s">
        <v>241</v>
      </c>
      <c r="C18" s="120" t="s">
        <v>242</v>
      </c>
      <c r="D18" s="29" t="s">
        <v>164</v>
      </c>
      <c r="E18" s="29" t="s">
        <v>165</v>
      </c>
      <c r="F18" s="29" t="s">
        <v>154</v>
      </c>
      <c r="G18" s="29" t="s">
        <v>166</v>
      </c>
    </row>
    <row r="19" spans="1:7" ht="15.75">
      <c r="A19" s="30" t="s">
        <v>167</v>
      </c>
      <c r="B19" s="28"/>
      <c r="C19" s="28"/>
      <c r="D19" s="122">
        <f>DC23+D26+D30+D31+D32+D33+D25+D24</f>
        <v>4</v>
      </c>
      <c r="E19" s="122">
        <f>E22+E23+E26+E30+E31+E32+E33+E25+E24</f>
        <v>65.921339295952293</v>
      </c>
      <c r="F19" s="122">
        <f t="shared" ref="F19:G19" si="2">F22+F23+F26+F30+F31+F32+F33+F25+F24</f>
        <v>66</v>
      </c>
      <c r="G19" s="122">
        <f t="shared" si="2"/>
        <v>3</v>
      </c>
    </row>
    <row r="20" spans="1:7" ht="15.75">
      <c r="A20" s="31" t="s">
        <v>168</v>
      </c>
      <c r="B20" s="32"/>
      <c r="C20" s="32"/>
      <c r="D20" s="33"/>
      <c r="E20" s="34"/>
      <c r="F20" s="35"/>
      <c r="G20" s="35"/>
    </row>
    <row r="21" spans="1:7" ht="15.75">
      <c r="A21" s="36" t="s">
        <v>34</v>
      </c>
      <c r="B21" s="32"/>
      <c r="C21" s="32"/>
      <c r="D21" s="33"/>
      <c r="E21" s="33"/>
      <c r="F21" s="34"/>
      <c r="G21" s="35"/>
    </row>
    <row r="22" spans="1:7" ht="15.75">
      <c r="A22" s="37" t="s">
        <v>169</v>
      </c>
      <c r="B22" s="32">
        <v>30</v>
      </c>
      <c r="C22" s="32">
        <v>54</v>
      </c>
      <c r="D22" s="32">
        <f>(B22*8+C22*4)/12</f>
        <v>38</v>
      </c>
      <c r="E22" s="33">
        <f>717/19</f>
        <v>37.736842105263158</v>
      </c>
      <c r="F22" s="35">
        <v>38</v>
      </c>
      <c r="G22" s="35">
        <v>0</v>
      </c>
    </row>
    <row r="23" spans="1:7" ht="15.75">
      <c r="A23" s="37" t="s">
        <v>170</v>
      </c>
      <c r="B23" s="32">
        <v>12</v>
      </c>
      <c r="C23" s="32">
        <v>36</v>
      </c>
      <c r="D23" s="32">
        <f>(B23*8+C23*4)/12</f>
        <v>20</v>
      </c>
      <c r="E23" s="33">
        <f>247/13.5</f>
        <v>18.296296296296298</v>
      </c>
      <c r="F23" s="35">
        <v>18</v>
      </c>
      <c r="G23" s="35">
        <v>2</v>
      </c>
    </row>
    <row r="24" spans="1:7" ht="15.75">
      <c r="A24" s="37" t="s">
        <v>171</v>
      </c>
      <c r="B24" s="32"/>
      <c r="C24" s="32"/>
      <c r="D24" s="32"/>
      <c r="E24" s="33"/>
      <c r="F24" s="35"/>
      <c r="G24" s="35"/>
    </row>
    <row r="25" spans="1:7" ht="15.75">
      <c r="A25" s="38" t="s">
        <v>38</v>
      </c>
      <c r="B25" s="32"/>
      <c r="C25" s="32"/>
      <c r="D25" s="32"/>
      <c r="E25" s="33"/>
      <c r="F25" s="35"/>
      <c r="G25" s="39"/>
    </row>
    <row r="26" spans="1:7" ht="15.75">
      <c r="A26" s="36" t="s">
        <v>39</v>
      </c>
      <c r="B26" s="32">
        <v>3</v>
      </c>
      <c r="C26" s="32">
        <v>4</v>
      </c>
      <c r="D26" s="32">
        <v>4</v>
      </c>
      <c r="E26" s="165">
        <f>(E22+E23)/85*15</f>
        <v>9.8882008943928454</v>
      </c>
      <c r="F26" s="166">
        <v>10</v>
      </c>
      <c r="G26" s="167">
        <v>1</v>
      </c>
    </row>
    <row r="27" spans="1:7" ht="15.75">
      <c r="A27" s="36" t="s">
        <v>40</v>
      </c>
      <c r="B27" s="32">
        <v>2</v>
      </c>
      <c r="C27" s="32">
        <v>3</v>
      </c>
      <c r="D27" s="32">
        <v>3</v>
      </c>
      <c r="E27" s="165"/>
      <c r="F27" s="166"/>
      <c r="G27" s="168"/>
    </row>
    <row r="28" spans="1:7" ht="15.75">
      <c r="A28" s="36" t="s">
        <v>41</v>
      </c>
      <c r="B28" s="32">
        <v>42</v>
      </c>
      <c r="C28" s="32">
        <v>4</v>
      </c>
      <c r="D28" s="32">
        <v>4</v>
      </c>
      <c r="E28" s="165"/>
      <c r="F28" s="166"/>
      <c r="G28" s="169"/>
    </row>
    <row r="29" spans="1:7" ht="15.75">
      <c r="A29" s="40" t="s">
        <v>42</v>
      </c>
      <c r="B29" s="32">
        <v>13</v>
      </c>
      <c r="C29" s="32">
        <v>106</v>
      </c>
      <c r="D29" s="32"/>
      <c r="E29" s="41"/>
      <c r="F29" s="41"/>
      <c r="G29" s="41"/>
    </row>
    <row r="30" spans="1:7" ht="15.75">
      <c r="A30" s="40" t="s">
        <v>43</v>
      </c>
      <c r="B30" s="32"/>
      <c r="C30" s="32"/>
      <c r="D30" s="32"/>
      <c r="E30" s="41"/>
      <c r="F30" s="41"/>
      <c r="G30" s="41"/>
    </row>
    <row r="31" spans="1:7" ht="15.75">
      <c r="A31" s="40" t="s">
        <v>44</v>
      </c>
      <c r="B31" s="32"/>
      <c r="C31" s="32"/>
      <c r="D31" s="32"/>
      <c r="E31" s="41"/>
      <c r="F31" s="41"/>
      <c r="G31" s="41"/>
    </row>
    <row r="32" spans="1:7" ht="15.75">
      <c r="A32" s="40" t="s">
        <v>45</v>
      </c>
      <c r="B32" s="32">
        <v>13</v>
      </c>
      <c r="C32" s="32">
        <v>106</v>
      </c>
      <c r="D32" s="32"/>
      <c r="E32" s="41"/>
      <c r="F32" s="41"/>
      <c r="G32" s="41"/>
    </row>
    <row r="33" spans="1:7" ht="15.75">
      <c r="A33" s="40" t="s">
        <v>46</v>
      </c>
      <c r="B33" s="32"/>
      <c r="C33" s="32"/>
      <c r="D33" s="32"/>
      <c r="E33" s="41"/>
      <c r="F33" s="41"/>
      <c r="G33" s="41"/>
    </row>
    <row r="34" spans="1:7" ht="28.5">
      <c r="A34" s="28" t="s">
        <v>163</v>
      </c>
      <c r="B34" s="120" t="s">
        <v>243</v>
      </c>
      <c r="C34" s="120" t="s">
        <v>244</v>
      </c>
      <c r="D34" s="29" t="s">
        <v>164</v>
      </c>
      <c r="E34" s="29" t="s">
        <v>165</v>
      </c>
      <c r="F34" s="29" t="s">
        <v>154</v>
      </c>
      <c r="G34" s="29" t="s">
        <v>166</v>
      </c>
    </row>
    <row r="35" spans="1:7" ht="15.75">
      <c r="A35" s="30" t="s">
        <v>167</v>
      </c>
      <c r="B35" s="28"/>
      <c r="C35" s="28"/>
      <c r="D35" s="28"/>
      <c r="E35" s="122">
        <f>E38+E39+E42+E46+E47+E48+E49+E41+E40</f>
        <v>107.05882352941177</v>
      </c>
      <c r="F35" s="122">
        <f t="shared" ref="F35:G35" si="3">F38+F39+F42+F46+F47+F48+F49+F41+F40</f>
        <v>107</v>
      </c>
      <c r="G35" s="122">
        <f t="shared" si="3"/>
        <v>7</v>
      </c>
    </row>
    <row r="36" spans="1:7" ht="15.75">
      <c r="A36" s="31" t="s">
        <v>168</v>
      </c>
      <c r="B36" s="32"/>
      <c r="C36" s="32"/>
      <c r="D36" s="33"/>
      <c r="E36" s="34"/>
      <c r="F36" s="35"/>
      <c r="G36" s="35"/>
    </row>
    <row r="37" spans="1:7" ht="15.75">
      <c r="A37" s="36" t="s">
        <v>34</v>
      </c>
      <c r="B37" s="32"/>
      <c r="C37" s="32"/>
      <c r="D37" s="33"/>
      <c r="E37" s="33"/>
      <c r="F37" s="34"/>
      <c r="G37" s="35"/>
    </row>
    <row r="38" spans="1:7" ht="15.75">
      <c r="A38" s="37" t="s">
        <v>169</v>
      </c>
      <c r="B38" s="32">
        <v>54</v>
      </c>
      <c r="C38" s="32">
        <v>60</v>
      </c>
      <c r="D38" s="32">
        <f>(B38*8+C38*4)/12</f>
        <v>56</v>
      </c>
      <c r="E38" s="33">
        <v>50</v>
      </c>
      <c r="F38" s="35">
        <v>50</v>
      </c>
      <c r="G38" s="35">
        <v>6</v>
      </c>
    </row>
    <row r="39" spans="1:7" ht="15.75">
      <c r="A39" s="37" t="s">
        <v>170</v>
      </c>
      <c r="B39" s="32">
        <v>36</v>
      </c>
      <c r="C39" s="32">
        <v>55</v>
      </c>
      <c r="D39" s="33">
        <f>(B39*8+C39*4)/12</f>
        <v>42.333333333333336</v>
      </c>
      <c r="E39" s="33">
        <v>41</v>
      </c>
      <c r="F39" s="35">
        <v>41</v>
      </c>
      <c r="G39" s="35">
        <v>1</v>
      </c>
    </row>
    <row r="40" spans="1:7" ht="15.75">
      <c r="A40" s="37" t="s">
        <v>171</v>
      </c>
      <c r="B40" s="32"/>
      <c r="C40" s="32"/>
      <c r="D40" s="32"/>
      <c r="E40" s="33"/>
      <c r="F40" s="35"/>
      <c r="G40" s="35"/>
    </row>
    <row r="41" spans="1:7" ht="15.75">
      <c r="A41" s="38" t="s">
        <v>38</v>
      </c>
      <c r="B41" s="32"/>
      <c r="C41" s="32"/>
      <c r="D41" s="32"/>
      <c r="E41" s="33"/>
      <c r="F41" s="35"/>
      <c r="G41" s="39"/>
    </row>
    <row r="42" spans="1:7" ht="15.75">
      <c r="A42" s="36" t="s">
        <v>39</v>
      </c>
      <c r="B42" s="32">
        <v>4</v>
      </c>
      <c r="C42" s="32">
        <v>4</v>
      </c>
      <c r="D42" s="32">
        <v>9</v>
      </c>
      <c r="E42" s="165">
        <f>(E38+E39)/85*15</f>
        <v>16.058823529411764</v>
      </c>
      <c r="F42" s="166">
        <v>16</v>
      </c>
      <c r="G42" s="167">
        <v>0</v>
      </c>
    </row>
    <row r="43" spans="1:7" ht="15.75">
      <c r="A43" s="36" t="s">
        <v>40</v>
      </c>
      <c r="B43" s="32">
        <v>3</v>
      </c>
      <c r="C43" s="32">
        <v>3</v>
      </c>
      <c r="D43" s="32">
        <v>3</v>
      </c>
      <c r="E43" s="165"/>
      <c r="F43" s="166"/>
      <c r="G43" s="168"/>
    </row>
    <row r="44" spans="1:7" ht="15.75">
      <c r="A44" s="36" t="s">
        <v>41</v>
      </c>
      <c r="B44" s="32">
        <v>4</v>
      </c>
      <c r="C44" s="32">
        <v>4</v>
      </c>
      <c r="D44" s="32">
        <v>4</v>
      </c>
      <c r="E44" s="165"/>
      <c r="F44" s="166"/>
      <c r="G44" s="169"/>
    </row>
    <row r="45" spans="1:7" ht="15.75">
      <c r="A45" s="40" t="s">
        <v>42</v>
      </c>
      <c r="B45" s="32">
        <v>106</v>
      </c>
      <c r="C45" s="32">
        <v>106</v>
      </c>
      <c r="D45" s="32"/>
      <c r="E45" s="41"/>
      <c r="F45" s="41"/>
      <c r="G45" s="41"/>
    </row>
    <row r="46" spans="1:7" ht="15.75">
      <c r="A46" s="40" t="s">
        <v>43</v>
      </c>
      <c r="B46" s="32"/>
      <c r="C46" s="32"/>
      <c r="D46" s="32"/>
      <c r="E46" s="41"/>
      <c r="F46" s="41"/>
      <c r="G46" s="41"/>
    </row>
    <row r="47" spans="1:7" ht="15.75">
      <c r="A47" s="40" t="s">
        <v>44</v>
      </c>
      <c r="B47" s="32"/>
      <c r="C47" s="32"/>
      <c r="D47" s="32"/>
      <c r="E47" s="41"/>
      <c r="F47" s="41"/>
      <c r="G47" s="41"/>
    </row>
    <row r="48" spans="1:7" ht="15.75">
      <c r="A48" s="40" t="s">
        <v>45</v>
      </c>
      <c r="B48" s="32">
        <v>106</v>
      </c>
      <c r="C48" s="32">
        <v>106</v>
      </c>
      <c r="D48" s="32"/>
      <c r="E48" s="41"/>
      <c r="F48" s="41"/>
      <c r="G48" s="41"/>
    </row>
    <row r="49" spans="1:7" ht="15.75">
      <c r="A49" s="40" t="s">
        <v>46</v>
      </c>
      <c r="B49" s="32"/>
      <c r="C49" s="32"/>
      <c r="D49" s="32"/>
      <c r="E49" s="41"/>
      <c r="F49" s="41"/>
      <c r="G49" s="41"/>
    </row>
  </sheetData>
  <mergeCells count="11">
    <mergeCell ref="I1:M1"/>
    <mergeCell ref="E42:E44"/>
    <mergeCell ref="F42:F44"/>
    <mergeCell ref="G42:G44"/>
    <mergeCell ref="A1:G1"/>
    <mergeCell ref="E10:E12"/>
    <mergeCell ref="F10:F12"/>
    <mergeCell ref="G10:G12"/>
    <mergeCell ref="E26:E28"/>
    <mergeCell ref="F26:F28"/>
    <mergeCell ref="G26:G28"/>
  </mergeCells>
  <phoneticPr fontId="3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E35"/>
  <sheetViews>
    <sheetView workbookViewId="0">
      <selection activeCell="D28" sqref="D28"/>
    </sheetView>
  </sheetViews>
  <sheetFormatPr defaultColWidth="9" defaultRowHeight="13.5"/>
  <cols>
    <col min="1" max="1" width="19.375" customWidth="1"/>
    <col min="2" max="2" width="17.25" customWidth="1"/>
    <col min="3" max="3" width="16.875" customWidth="1"/>
    <col min="4" max="4" width="16.375" customWidth="1"/>
    <col min="5" max="5" width="18" customWidth="1"/>
  </cols>
  <sheetData>
    <row r="1" spans="1:5" ht="25.5">
      <c r="A1" s="170" t="s">
        <v>297</v>
      </c>
      <c r="B1" s="170"/>
      <c r="C1" s="170"/>
      <c r="D1" s="170"/>
      <c r="E1" s="18"/>
    </row>
    <row r="3" spans="1:5" ht="15.75">
      <c r="A3" s="19" t="s">
        <v>163</v>
      </c>
      <c r="B3" s="20" t="s">
        <v>172</v>
      </c>
      <c r="C3" s="20" t="s">
        <v>173</v>
      </c>
      <c r="D3" s="21" t="s">
        <v>174</v>
      </c>
      <c r="E3" s="22" t="s">
        <v>175</v>
      </c>
    </row>
    <row r="4" spans="1:5" ht="15.75">
      <c r="A4" s="23" t="s">
        <v>176</v>
      </c>
      <c r="B4" s="24">
        <f>教育成本归集表!B6</f>
        <v>4864961.46</v>
      </c>
      <c r="C4" s="24">
        <f t="shared" ref="C4:C11" si="0">B4-D4</f>
        <v>3492401.46</v>
      </c>
      <c r="D4" s="24">
        <f>1372560</f>
        <v>1372560</v>
      </c>
      <c r="E4" s="118" t="s">
        <v>290</v>
      </c>
    </row>
    <row r="5" spans="1:5" ht="15.75">
      <c r="A5" s="23" t="s">
        <v>177</v>
      </c>
      <c r="B5" s="24">
        <f>教育成本归集表!B32</f>
        <v>351536.94</v>
      </c>
      <c r="C5" s="24">
        <f t="shared" si="0"/>
        <v>159378.54</v>
      </c>
      <c r="D5" s="24">
        <v>192158.4</v>
      </c>
      <c r="E5" s="136" t="s">
        <v>268</v>
      </c>
    </row>
    <row r="6" spans="1:5" ht="15.75">
      <c r="A6" s="27" t="s">
        <v>178</v>
      </c>
      <c r="B6" s="24">
        <f>教育成本归集表!B9</f>
        <v>78490.66</v>
      </c>
      <c r="C6" s="24">
        <f t="shared" si="0"/>
        <v>0</v>
      </c>
      <c r="D6" s="24">
        <v>78490.66</v>
      </c>
      <c r="E6" s="135"/>
    </row>
    <row r="7" spans="1:5" ht="15.75">
      <c r="A7" s="23" t="s">
        <v>179</v>
      </c>
      <c r="B7" s="24"/>
      <c r="C7" s="24">
        <f t="shared" si="0"/>
        <v>0</v>
      </c>
      <c r="D7" s="24"/>
      <c r="E7" s="26"/>
    </row>
    <row r="8" spans="1:5" ht="15.75">
      <c r="A8" s="27" t="s">
        <v>180</v>
      </c>
      <c r="B8" s="24"/>
      <c r="C8" s="24">
        <f t="shared" si="0"/>
        <v>0</v>
      </c>
      <c r="D8" s="24"/>
      <c r="E8" s="26"/>
    </row>
    <row r="9" spans="1:5" ht="15.75">
      <c r="A9" s="23" t="s">
        <v>181</v>
      </c>
      <c r="B9" s="24">
        <f>教育成本归集表!B10</f>
        <v>8940</v>
      </c>
      <c r="C9" s="24">
        <f t="shared" si="0"/>
        <v>-59688</v>
      </c>
      <c r="D9" s="24">
        <v>68628</v>
      </c>
      <c r="E9" s="136" t="s">
        <v>270</v>
      </c>
    </row>
    <row r="10" spans="1:5" ht="15.75">
      <c r="A10" s="23" t="s">
        <v>182</v>
      </c>
      <c r="B10" s="24">
        <f>教育成本归集表!B31</f>
        <v>0</v>
      </c>
      <c r="C10" s="24">
        <f t="shared" si="0"/>
        <v>-27451.200000000001</v>
      </c>
      <c r="D10" s="24">
        <v>27451.200000000001</v>
      </c>
      <c r="E10" s="134">
        <v>0.02</v>
      </c>
    </row>
    <row r="11" spans="1:5" ht="15.75">
      <c r="A11" s="23" t="s">
        <v>183</v>
      </c>
      <c r="B11" s="24">
        <f>教育成本归集表!B26</f>
        <v>31790.31</v>
      </c>
      <c r="C11" s="24">
        <f t="shared" si="0"/>
        <v>-2523.6899999999987</v>
      </c>
      <c r="D11" s="24">
        <v>34314</v>
      </c>
      <c r="E11" s="135">
        <v>2.5000000000000001E-2</v>
      </c>
    </row>
    <row r="12" spans="1:5">
      <c r="A12" s="118" t="s">
        <v>267</v>
      </c>
      <c r="B12" s="133">
        <f>B4+B5+B6+B8+B9+B10+B11</f>
        <v>5335719.37</v>
      </c>
      <c r="C12" s="133">
        <f t="shared" ref="C12:D12" si="1">C4+C5+C6+C8+C9+C10+C11</f>
        <v>3562117.11</v>
      </c>
      <c r="D12" s="133">
        <f t="shared" si="1"/>
        <v>1773602.2599999998</v>
      </c>
      <c r="E12" s="26"/>
    </row>
    <row r="13" spans="1:5" ht="14.25">
      <c r="A13" s="132" t="s">
        <v>266</v>
      </c>
      <c r="B13" s="131">
        <f>D4+D5+D6++D7+D8+D9+D10+D11</f>
        <v>1773602.2599999998</v>
      </c>
    </row>
    <row r="14" spans="1:5" ht="15.75">
      <c r="A14" s="19" t="s">
        <v>163</v>
      </c>
      <c r="B14" s="20" t="s">
        <v>184</v>
      </c>
      <c r="C14" s="20" t="s">
        <v>185</v>
      </c>
      <c r="D14" s="21" t="s">
        <v>186</v>
      </c>
      <c r="E14" s="22" t="s">
        <v>175</v>
      </c>
    </row>
    <row r="15" spans="1:5" ht="15.75">
      <c r="A15" s="23" t="s">
        <v>176</v>
      </c>
      <c r="B15" s="24">
        <f>教育成本归集表!E6</f>
        <v>10577360.479999999</v>
      </c>
      <c r="C15" s="24">
        <f t="shared" ref="C15:C22" si="2">B15-D15</f>
        <v>3924560.4799999986</v>
      </c>
      <c r="D15" s="24">
        <v>6652800</v>
      </c>
      <c r="E15" s="118" t="s">
        <v>290</v>
      </c>
    </row>
    <row r="16" spans="1:5" ht="15.75">
      <c r="A16" s="23" t="s">
        <v>177</v>
      </c>
      <c r="B16" s="24">
        <f>教育成本归集表!E32</f>
        <v>875978.3</v>
      </c>
      <c r="C16" s="24">
        <f t="shared" si="2"/>
        <v>0</v>
      </c>
      <c r="D16" s="24">
        <v>875978.3</v>
      </c>
      <c r="E16" s="136" t="s">
        <v>268</v>
      </c>
    </row>
    <row r="17" spans="1:5" ht="15.75">
      <c r="A17" s="27" t="s">
        <v>178</v>
      </c>
      <c r="B17" s="24">
        <f>教育成本归集表!E9</f>
        <v>429931.76</v>
      </c>
      <c r="C17" s="24">
        <f t="shared" si="2"/>
        <v>0</v>
      </c>
      <c r="D17" s="24">
        <v>429931.76</v>
      </c>
      <c r="E17" s="135"/>
    </row>
    <row r="18" spans="1:5" ht="15.75">
      <c r="A18" s="23" t="s">
        <v>179</v>
      </c>
      <c r="B18" s="24"/>
      <c r="C18" s="24">
        <f t="shared" si="2"/>
        <v>0</v>
      </c>
      <c r="D18" s="24"/>
      <c r="E18" s="26"/>
    </row>
    <row r="19" spans="1:5" ht="15.75">
      <c r="A19" s="27" t="s">
        <v>180</v>
      </c>
      <c r="B19" s="24"/>
      <c r="C19" s="24">
        <f t="shared" si="2"/>
        <v>0</v>
      </c>
      <c r="D19" s="24"/>
      <c r="E19" s="26"/>
    </row>
    <row r="20" spans="1:5" ht="15.75">
      <c r="A20" s="23" t="s">
        <v>181</v>
      </c>
      <c r="B20" s="24">
        <f>教育成本归集表!E10</f>
        <v>138408</v>
      </c>
      <c r="C20" s="24">
        <f t="shared" si="2"/>
        <v>-194232</v>
      </c>
      <c r="D20" s="24">
        <v>332640</v>
      </c>
      <c r="E20" s="134" t="s">
        <v>269</v>
      </c>
    </row>
    <row r="21" spans="1:5" ht="15.75">
      <c r="A21" s="23" t="s">
        <v>182</v>
      </c>
      <c r="B21" s="24">
        <f>教育成本归集表!E31</f>
        <v>55142.37</v>
      </c>
      <c r="C21" s="24">
        <f t="shared" si="2"/>
        <v>-77913.63</v>
      </c>
      <c r="D21" s="24">
        <f>D15*0.02</f>
        <v>133056</v>
      </c>
      <c r="E21" s="134">
        <v>0.02</v>
      </c>
    </row>
    <row r="22" spans="1:5" ht="15.75">
      <c r="A22" s="23" t="s">
        <v>183</v>
      </c>
      <c r="B22" s="24">
        <f>教育成本归集表!E26</f>
        <v>3637</v>
      </c>
      <c r="C22" s="24">
        <f t="shared" si="2"/>
        <v>-162683</v>
      </c>
      <c r="D22" s="24">
        <f>D15*0.025</f>
        <v>166320</v>
      </c>
      <c r="E22" s="135">
        <v>2.5000000000000001E-2</v>
      </c>
    </row>
    <row r="23" spans="1:5">
      <c r="A23" s="118" t="s">
        <v>267</v>
      </c>
      <c r="B23" s="133">
        <f>B15+B16+B17+B19+B20+B21+B22</f>
        <v>12080457.909999998</v>
      </c>
      <c r="C23" s="133">
        <f t="shared" ref="C23" si="3">C15+C16+C17+C19+C20+C21+C22</f>
        <v>3489731.8499999987</v>
      </c>
      <c r="D23" s="133">
        <f t="shared" ref="D23" si="4">D15+D16+D17+D19+D20+D21+D22</f>
        <v>8590726.0599999987</v>
      </c>
      <c r="E23" s="26"/>
    </row>
    <row r="24" spans="1:5" ht="14.25">
      <c r="A24" s="132" t="s">
        <v>266</v>
      </c>
      <c r="B24" s="131">
        <f>D15+D16+D17++D18+D19+D20+D21+D22</f>
        <v>8590726.0599999987</v>
      </c>
    </row>
    <row r="25" spans="1:5" ht="15.75">
      <c r="A25" s="19" t="s">
        <v>163</v>
      </c>
      <c r="B25" s="20" t="s">
        <v>187</v>
      </c>
      <c r="C25" s="20" t="s">
        <v>188</v>
      </c>
      <c r="D25" s="21" t="s">
        <v>189</v>
      </c>
      <c r="E25" s="22" t="s">
        <v>175</v>
      </c>
    </row>
    <row r="26" spans="1:5" ht="15.75">
      <c r="A26" s="23" t="s">
        <v>176</v>
      </c>
      <c r="B26" s="24">
        <f>教育成本归集表!H6</f>
        <v>15749492.859999999</v>
      </c>
      <c r="C26" s="24">
        <f t="shared" ref="C26:C33" si="5">B26-D26</f>
        <v>4668572.8599999994</v>
      </c>
      <c r="D26" s="24">
        <f>教职工人数核定表!L5</f>
        <v>11080920</v>
      </c>
      <c r="E26" s="118" t="s">
        <v>290</v>
      </c>
    </row>
    <row r="27" spans="1:5" ht="15.75">
      <c r="A27" s="23" t="s">
        <v>177</v>
      </c>
      <c r="B27" s="24">
        <f>教育成本归集表!H32</f>
        <v>833722.63</v>
      </c>
      <c r="C27" s="24">
        <f>B27-D27</f>
        <v>0</v>
      </c>
      <c r="D27" s="24">
        <v>833722.63</v>
      </c>
      <c r="E27" s="136" t="s">
        <v>268</v>
      </c>
    </row>
    <row r="28" spans="1:5" ht="15.75">
      <c r="A28" s="27" t="s">
        <v>178</v>
      </c>
      <c r="B28" s="24">
        <f>教育成本归集表!H9</f>
        <v>1609825.56</v>
      </c>
      <c r="C28" s="24">
        <f t="shared" si="5"/>
        <v>0</v>
      </c>
      <c r="D28" s="24">
        <v>1609825.56</v>
      </c>
      <c r="E28" s="135"/>
    </row>
    <row r="29" spans="1:5" ht="15.75">
      <c r="A29" s="23" t="s">
        <v>179</v>
      </c>
      <c r="B29" s="24"/>
      <c r="C29" s="24">
        <f t="shared" si="5"/>
        <v>0</v>
      </c>
      <c r="D29" s="24"/>
      <c r="E29" s="26"/>
    </row>
    <row r="30" spans="1:5" ht="15.75">
      <c r="A30" s="27" t="s">
        <v>180</v>
      </c>
      <c r="B30" s="24"/>
      <c r="C30" s="24">
        <f t="shared" si="5"/>
        <v>0</v>
      </c>
      <c r="D30" s="24"/>
      <c r="E30" s="26"/>
    </row>
    <row r="31" spans="1:5" ht="15.75">
      <c r="A31" s="23" t="s">
        <v>181</v>
      </c>
      <c r="B31" s="24">
        <f>教育成本归集表!H10</f>
        <v>373533</v>
      </c>
      <c r="C31" s="24">
        <f t="shared" si="5"/>
        <v>-154623</v>
      </c>
      <c r="D31" s="24">
        <v>528156</v>
      </c>
      <c r="E31" s="134" t="s">
        <v>269</v>
      </c>
    </row>
    <row r="32" spans="1:5" ht="15.75">
      <c r="A32" s="23" t="s">
        <v>182</v>
      </c>
      <c r="B32" s="24">
        <f>教育成本归集表!H31</f>
        <v>113301.67</v>
      </c>
      <c r="C32" s="24">
        <f t="shared" si="5"/>
        <v>-108316.73</v>
      </c>
      <c r="D32" s="24">
        <f>D26*0.02</f>
        <v>221618.4</v>
      </c>
      <c r="E32" s="134">
        <v>0.02</v>
      </c>
    </row>
    <row r="33" spans="1:5" ht="15.75">
      <c r="A33" s="23" t="s">
        <v>183</v>
      </c>
      <c r="B33" s="24">
        <f>教育成本归集表!H26</f>
        <v>180595</v>
      </c>
      <c r="C33" s="24">
        <f t="shared" si="5"/>
        <v>-96428</v>
      </c>
      <c r="D33" s="24">
        <f>D26*0.025</f>
        <v>277023</v>
      </c>
      <c r="E33" s="135">
        <v>2.5000000000000001E-2</v>
      </c>
    </row>
    <row r="34" spans="1:5">
      <c r="A34" s="118" t="s">
        <v>267</v>
      </c>
      <c r="B34" s="133">
        <f>B26+B27+B28+B30+B31+B32+B33</f>
        <v>18860470.720000003</v>
      </c>
      <c r="C34" s="133">
        <f>C26+C27+C28+C30+C31+C32+C33</f>
        <v>4309205.129999999</v>
      </c>
      <c r="D34" s="133">
        <f t="shared" ref="D34" si="6">D26+D27+D28+D30+D31+D32+D33</f>
        <v>14551265.590000002</v>
      </c>
      <c r="E34" s="26"/>
    </row>
    <row r="35" spans="1:5" ht="14.25">
      <c r="A35" s="132" t="s">
        <v>266</v>
      </c>
      <c r="B35" s="131">
        <f>D26+D27+D28++D29+D30+D31+D32+D33</f>
        <v>14551265.590000002</v>
      </c>
    </row>
  </sheetData>
  <mergeCells count="1">
    <mergeCell ref="A1:D1"/>
  </mergeCells>
  <phoneticPr fontId="38" type="noConversion"/>
  <pageMargins left="0.78740157480314965" right="0.35433070866141736" top="0.74803149606299213" bottom="0.7480314960629921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dimension ref="A1:T31"/>
  <sheetViews>
    <sheetView workbookViewId="0">
      <selection activeCell="G18" sqref="G18"/>
    </sheetView>
  </sheetViews>
  <sheetFormatPr defaultColWidth="9" defaultRowHeight="13.5"/>
  <cols>
    <col min="1" max="1" width="25.875" customWidth="1"/>
    <col min="2" max="2" width="17.125" customWidth="1"/>
    <col min="3" max="3" width="14.375" customWidth="1"/>
    <col min="4" max="4" width="10.125" customWidth="1"/>
    <col min="5" max="5" width="17.625" customWidth="1"/>
    <col min="6" max="6" width="22.625" customWidth="1"/>
    <col min="7" max="7" width="16.25" customWidth="1"/>
    <col min="8" max="8" width="17.375" customWidth="1"/>
    <col min="9" max="9" width="11.625" customWidth="1"/>
    <col min="10" max="10" width="12.125" customWidth="1"/>
    <col min="11" max="11" width="21.25" customWidth="1"/>
    <col min="12" max="12" width="13.875" customWidth="1"/>
    <col min="13" max="13" width="12" customWidth="1"/>
    <col min="14" max="14" width="11.25" customWidth="1"/>
    <col min="15" max="15" width="10.625" customWidth="1"/>
    <col min="16" max="16" width="22.125" customWidth="1"/>
    <col min="17" max="18" width="13.125" customWidth="1"/>
    <col min="19" max="19" width="14.625" customWidth="1"/>
    <col min="20" max="20" width="11.125" customWidth="1"/>
  </cols>
  <sheetData>
    <row r="1" spans="1:20" ht="25.5">
      <c r="A1" s="171" t="s">
        <v>298</v>
      </c>
      <c r="B1" s="171"/>
      <c r="C1" s="171"/>
      <c r="D1" s="171"/>
      <c r="E1" s="171"/>
      <c r="F1" s="171" t="s">
        <v>299</v>
      </c>
      <c r="G1" s="171"/>
      <c r="H1" s="171"/>
      <c r="I1" s="171"/>
      <c r="J1" s="171"/>
      <c r="K1" s="171" t="s">
        <v>300</v>
      </c>
      <c r="L1" s="171"/>
      <c r="M1" s="171"/>
      <c r="N1" s="171"/>
      <c r="O1" s="171"/>
      <c r="P1" s="171" t="s">
        <v>248</v>
      </c>
      <c r="Q1" s="171"/>
      <c r="R1" s="171"/>
      <c r="S1" s="171"/>
      <c r="T1" s="171"/>
    </row>
    <row r="2" spans="1:20" ht="15.75">
      <c r="A2" s="6" t="s">
        <v>190</v>
      </c>
      <c r="B2" s="7" t="s">
        <v>191</v>
      </c>
      <c r="C2" s="7" t="s">
        <v>192</v>
      </c>
      <c r="D2" s="7" t="s">
        <v>193</v>
      </c>
      <c r="E2" s="7" t="s">
        <v>194</v>
      </c>
      <c r="F2" s="6" t="s">
        <v>190</v>
      </c>
      <c r="G2" s="7" t="s">
        <v>191</v>
      </c>
      <c r="H2" s="7" t="s">
        <v>192</v>
      </c>
      <c r="I2" s="7" t="s">
        <v>193</v>
      </c>
      <c r="J2" s="7" t="s">
        <v>194</v>
      </c>
      <c r="K2" s="6" t="s">
        <v>190</v>
      </c>
      <c r="L2" s="7" t="s">
        <v>191</v>
      </c>
      <c r="M2" s="7" t="s">
        <v>192</v>
      </c>
      <c r="N2" s="7" t="s">
        <v>193</v>
      </c>
      <c r="O2" s="7" t="s">
        <v>194</v>
      </c>
      <c r="P2" s="6" t="s">
        <v>190</v>
      </c>
      <c r="Q2" s="7" t="s">
        <v>191</v>
      </c>
      <c r="R2" s="7" t="s">
        <v>192</v>
      </c>
      <c r="S2" s="7" t="s">
        <v>193</v>
      </c>
      <c r="T2" s="7" t="s">
        <v>194</v>
      </c>
    </row>
    <row r="3" spans="1:20" ht="21.75" customHeight="1">
      <c r="A3" s="8" t="s">
        <v>195</v>
      </c>
      <c r="B3" s="9">
        <f>B4</f>
        <v>370000000</v>
      </c>
      <c r="C3" s="10"/>
      <c r="D3" s="11">
        <v>0.05</v>
      </c>
      <c r="E3" s="9"/>
      <c r="F3" s="8" t="s">
        <v>195</v>
      </c>
      <c r="G3" s="9">
        <f>G4</f>
        <v>370000000</v>
      </c>
      <c r="H3" s="121"/>
      <c r="I3" s="11">
        <v>0.05</v>
      </c>
      <c r="J3" s="9"/>
      <c r="K3" s="8" t="s">
        <v>195</v>
      </c>
      <c r="L3" s="9">
        <f>L4+L9+L21+L28</f>
        <v>404245320.99498242</v>
      </c>
      <c r="M3" s="121"/>
      <c r="N3" s="11">
        <v>0.05</v>
      </c>
      <c r="O3" s="9">
        <f>O4+O9+O21+O28</f>
        <v>9741087.8317499999</v>
      </c>
      <c r="P3" s="8" t="s">
        <v>195</v>
      </c>
      <c r="Q3" s="9">
        <f>Q4+Q9+Q21+Q28</f>
        <v>2071650.52</v>
      </c>
      <c r="R3" s="121" t="s">
        <v>196</v>
      </c>
      <c r="S3" s="11">
        <v>0.05</v>
      </c>
      <c r="T3" s="9">
        <f>T4+T9+T21+T28</f>
        <v>0</v>
      </c>
    </row>
    <row r="4" spans="1:20" ht="21.75" customHeight="1">
      <c r="A4" s="12" t="s">
        <v>197</v>
      </c>
      <c r="B4" s="9">
        <f>SUM(B5:B8)</f>
        <v>370000000</v>
      </c>
      <c r="C4" s="9"/>
      <c r="D4" s="9"/>
      <c r="E4" s="13">
        <f>SUM(E5:E8)</f>
        <v>7030000</v>
      </c>
      <c r="F4" s="12" t="s">
        <v>197</v>
      </c>
      <c r="G4" s="9">
        <f>SUM(G5:G8)</f>
        <v>370000000</v>
      </c>
      <c r="H4" s="9"/>
      <c r="I4" s="9"/>
      <c r="J4" s="13">
        <f>SUM(J5:J8)</f>
        <v>7030000</v>
      </c>
      <c r="K4" s="12" t="s">
        <v>197</v>
      </c>
      <c r="L4" s="9">
        <f>SUM(L5:L8)</f>
        <v>370000000</v>
      </c>
      <c r="M4" s="9"/>
      <c r="N4" s="9"/>
      <c r="O4" s="13">
        <f>SUM(O5:O8)</f>
        <v>7030000</v>
      </c>
      <c r="P4" s="12" t="s">
        <v>197</v>
      </c>
      <c r="Q4" s="9">
        <f>SUM(Q5:Q8)</f>
        <v>0</v>
      </c>
      <c r="R4" s="9"/>
      <c r="S4" s="9"/>
      <c r="T4" s="13">
        <f>SUM(T5:T8)</f>
        <v>0</v>
      </c>
    </row>
    <row r="5" spans="1:20" ht="21.75" customHeight="1">
      <c r="A5" s="14" t="s">
        <v>198</v>
      </c>
      <c r="B5" s="9">
        <v>370000000</v>
      </c>
      <c r="C5" s="9">
        <v>50</v>
      </c>
      <c r="D5" s="11">
        <v>0.05</v>
      </c>
      <c r="E5" s="9">
        <v>7030000</v>
      </c>
      <c r="F5" s="14" t="s">
        <v>198</v>
      </c>
      <c r="G5" s="9">
        <v>370000000</v>
      </c>
      <c r="H5" s="9">
        <v>50</v>
      </c>
      <c r="I5" s="11">
        <v>0.05</v>
      </c>
      <c r="J5" s="9">
        <v>7030000</v>
      </c>
      <c r="K5" s="14" t="s">
        <v>198</v>
      </c>
      <c r="L5" s="9">
        <v>370000000</v>
      </c>
      <c r="M5" s="9">
        <v>50</v>
      </c>
      <c r="N5" s="11">
        <v>0.05</v>
      </c>
      <c r="O5" s="9">
        <v>7030000</v>
      </c>
      <c r="P5" s="14" t="s">
        <v>198</v>
      </c>
      <c r="Q5" s="9"/>
      <c r="R5" s="9"/>
      <c r="S5" s="9"/>
      <c r="T5" s="9"/>
    </row>
    <row r="6" spans="1:20" ht="21.75" customHeight="1">
      <c r="A6" s="172" t="s">
        <v>255</v>
      </c>
      <c r="B6" s="173"/>
      <c r="C6" s="173"/>
      <c r="D6" s="173"/>
      <c r="E6" s="174"/>
      <c r="F6" s="172" t="s">
        <v>286</v>
      </c>
      <c r="G6" s="173"/>
      <c r="H6" s="173"/>
      <c r="I6" s="173"/>
      <c r="J6" s="174"/>
      <c r="K6" s="172" t="s">
        <v>272</v>
      </c>
      <c r="L6" s="173"/>
      <c r="M6" s="173"/>
      <c r="N6" s="173"/>
      <c r="O6" s="174"/>
      <c r="P6" s="14" t="s">
        <v>199</v>
      </c>
      <c r="Q6" s="9"/>
      <c r="R6" s="9"/>
      <c r="S6" s="9"/>
      <c r="T6" s="9"/>
    </row>
    <row r="7" spans="1:20" ht="21.75" customHeight="1">
      <c r="A7" s="175"/>
      <c r="B7" s="176"/>
      <c r="C7" s="176"/>
      <c r="D7" s="176"/>
      <c r="E7" s="177"/>
      <c r="F7" s="175"/>
      <c r="G7" s="176"/>
      <c r="H7" s="176"/>
      <c r="I7" s="176"/>
      <c r="J7" s="177"/>
      <c r="K7" s="175"/>
      <c r="L7" s="176"/>
      <c r="M7" s="176"/>
      <c r="N7" s="176"/>
      <c r="O7" s="177"/>
      <c r="P7" s="14" t="s">
        <v>200</v>
      </c>
      <c r="Q7" s="9"/>
      <c r="R7" s="9"/>
      <c r="S7" s="9"/>
      <c r="T7" s="9"/>
    </row>
    <row r="8" spans="1:20" ht="21.75" customHeight="1">
      <c r="A8" s="178"/>
      <c r="B8" s="179"/>
      <c r="C8" s="179"/>
      <c r="D8" s="179"/>
      <c r="E8" s="180"/>
      <c r="F8" s="178"/>
      <c r="G8" s="179"/>
      <c r="H8" s="179"/>
      <c r="I8" s="179"/>
      <c r="J8" s="180"/>
      <c r="K8" s="178"/>
      <c r="L8" s="179"/>
      <c r="M8" s="179"/>
      <c r="N8" s="179"/>
      <c r="O8" s="180"/>
      <c r="P8" s="14" t="s">
        <v>201</v>
      </c>
      <c r="Q8" s="9"/>
      <c r="R8" s="9"/>
      <c r="S8" s="9"/>
      <c r="T8" s="9"/>
    </row>
    <row r="9" spans="1:20" ht="21.75" customHeight="1">
      <c r="A9" s="127" t="s">
        <v>256</v>
      </c>
      <c r="B9" s="9">
        <f>B10+B11</f>
        <v>3385642.97</v>
      </c>
      <c r="C9" s="10"/>
      <c r="D9" s="11">
        <v>0.05</v>
      </c>
      <c r="E9" s="9">
        <f>E12</f>
        <v>536060.13691666664</v>
      </c>
      <c r="F9" s="127" t="s">
        <v>256</v>
      </c>
      <c r="G9" s="9">
        <f>G10+G11</f>
        <v>13662523.610000001</v>
      </c>
      <c r="H9" s="121"/>
      <c r="I9" s="11">
        <v>0.05</v>
      </c>
      <c r="J9" s="9">
        <f>J12</f>
        <v>2163232.9049166669</v>
      </c>
      <c r="K9" s="127" t="s">
        <v>256</v>
      </c>
      <c r="L9" s="9">
        <f>SUM(L10:L20)</f>
        <v>34245320.994982429</v>
      </c>
      <c r="M9" s="121"/>
      <c r="N9" s="11">
        <v>0.05</v>
      </c>
      <c r="O9" s="9">
        <f>O12</f>
        <v>2711087.8317499994</v>
      </c>
      <c r="P9" s="15" t="s">
        <v>202</v>
      </c>
      <c r="Q9" s="9">
        <f>SUM(Q10:Q20)</f>
        <v>374325.45</v>
      </c>
      <c r="R9" s="121" t="s">
        <v>196</v>
      </c>
      <c r="S9" s="11">
        <v>0.05</v>
      </c>
      <c r="T9" s="9">
        <f>SUM(T10:T20)</f>
        <v>0</v>
      </c>
    </row>
    <row r="10" spans="1:20" ht="21.75" customHeight="1">
      <c r="A10" s="128" t="s">
        <v>257</v>
      </c>
      <c r="B10" s="9">
        <v>495213</v>
      </c>
      <c r="C10" s="9">
        <v>6</v>
      </c>
      <c r="D10" s="11">
        <v>0.05</v>
      </c>
      <c r="E10" s="9">
        <f>B10*0.95/C10</f>
        <v>78408.724999999991</v>
      </c>
      <c r="F10" s="128" t="s">
        <v>257</v>
      </c>
      <c r="G10" s="9">
        <v>1075329.6499999999</v>
      </c>
      <c r="H10" s="9">
        <v>6</v>
      </c>
      <c r="I10" s="11">
        <v>0.05</v>
      </c>
      <c r="J10" s="9">
        <f>G10*0.95/H10</f>
        <v>170260.52791666664</v>
      </c>
      <c r="K10" s="128" t="s">
        <v>257</v>
      </c>
      <c r="L10" s="9">
        <v>1585184.45</v>
      </c>
      <c r="M10" s="9">
        <v>6</v>
      </c>
      <c r="N10" s="11">
        <v>0.05</v>
      </c>
      <c r="O10" s="9">
        <f>L10*0.95/M10</f>
        <v>250987.53791666662</v>
      </c>
      <c r="P10" s="14" t="s">
        <v>203</v>
      </c>
      <c r="Q10" s="9">
        <f>28708+10640</f>
        <v>39348</v>
      </c>
      <c r="R10" s="9"/>
      <c r="S10" s="9"/>
      <c r="T10" s="9"/>
    </row>
    <row r="11" spans="1:20" ht="21.75" customHeight="1">
      <c r="A11" s="128" t="s">
        <v>258</v>
      </c>
      <c r="B11" s="9">
        <v>2890429.97</v>
      </c>
      <c r="C11" s="9">
        <v>6</v>
      </c>
      <c r="D11" s="11">
        <v>0.05</v>
      </c>
      <c r="E11" s="9">
        <f>B11*0.95/C11</f>
        <v>457651.41191666666</v>
      </c>
      <c r="F11" s="128" t="s">
        <v>258</v>
      </c>
      <c r="G11" s="9">
        <v>12587193.960000001</v>
      </c>
      <c r="H11" s="9">
        <v>6</v>
      </c>
      <c r="I11" s="11">
        <v>0.05</v>
      </c>
      <c r="J11" s="9">
        <f>G11*0.95/H11</f>
        <v>1992972.3770000001</v>
      </c>
      <c r="K11" s="128" t="s">
        <v>258</v>
      </c>
      <c r="L11" s="9">
        <v>15537475.539999999</v>
      </c>
      <c r="M11" s="9">
        <v>6</v>
      </c>
      <c r="N11" s="11">
        <v>0.05</v>
      </c>
      <c r="O11" s="9">
        <f>L11*0.95/M11</f>
        <v>2460100.2938333331</v>
      </c>
      <c r="P11" s="14" t="s">
        <v>204</v>
      </c>
      <c r="Q11" s="9">
        <f>293594.45+19900-10640</f>
        <v>302854.45</v>
      </c>
      <c r="R11" s="9"/>
      <c r="S11" s="9"/>
      <c r="T11" s="9"/>
    </row>
    <row r="12" spans="1:20" ht="21.75" customHeight="1">
      <c r="A12" s="128" t="s">
        <v>259</v>
      </c>
      <c r="B12" s="9">
        <f>B10+B11</f>
        <v>3385642.97</v>
      </c>
      <c r="C12" s="9">
        <v>6</v>
      </c>
      <c r="D12" s="11">
        <v>0.05</v>
      </c>
      <c r="E12" s="9">
        <f>B12*0.95/C12</f>
        <v>536060.13691666664</v>
      </c>
      <c r="F12" s="128" t="s">
        <v>259</v>
      </c>
      <c r="G12" s="9">
        <f>G10+G11</f>
        <v>13662523.610000001</v>
      </c>
      <c r="H12" s="9">
        <v>6</v>
      </c>
      <c r="I12" s="11">
        <v>0.05</v>
      </c>
      <c r="J12" s="9">
        <f>G12*0.95/H12</f>
        <v>2163232.9049166669</v>
      </c>
      <c r="K12" s="128" t="s">
        <v>259</v>
      </c>
      <c r="L12" s="9">
        <f>L10+L11</f>
        <v>17122659.989999998</v>
      </c>
      <c r="M12" s="9">
        <v>6</v>
      </c>
      <c r="N12" s="11">
        <v>0.05</v>
      </c>
      <c r="O12" s="9">
        <f>L12*0.95/M12</f>
        <v>2711087.8317499994</v>
      </c>
      <c r="P12" s="14" t="s">
        <v>205</v>
      </c>
      <c r="Q12" s="9"/>
      <c r="R12" s="9"/>
      <c r="S12" s="9"/>
      <c r="T12" s="9"/>
    </row>
    <row r="13" spans="1:20" ht="21.75" customHeight="1">
      <c r="A13" s="181" t="s">
        <v>287</v>
      </c>
      <c r="B13" s="173"/>
      <c r="C13" s="173"/>
      <c r="D13" s="173"/>
      <c r="E13" s="174"/>
      <c r="F13" s="181" t="s">
        <v>288</v>
      </c>
      <c r="G13" s="173"/>
      <c r="H13" s="173"/>
      <c r="I13" s="173"/>
      <c r="J13" s="174"/>
      <c r="K13" s="182" t="s">
        <v>289</v>
      </c>
      <c r="L13" s="183"/>
      <c r="M13" s="183"/>
      <c r="N13" s="183"/>
      <c r="O13" s="184"/>
      <c r="P13" s="14" t="s">
        <v>206</v>
      </c>
      <c r="Q13" s="9"/>
      <c r="R13" s="9"/>
      <c r="S13" s="9"/>
      <c r="T13" s="9"/>
    </row>
    <row r="14" spans="1:20" ht="21.75" customHeight="1">
      <c r="A14" s="175"/>
      <c r="B14" s="176"/>
      <c r="C14" s="176"/>
      <c r="D14" s="176"/>
      <c r="E14" s="177"/>
      <c r="F14" s="175"/>
      <c r="G14" s="176"/>
      <c r="H14" s="176"/>
      <c r="I14" s="176"/>
      <c r="J14" s="177"/>
      <c r="K14" s="185"/>
      <c r="L14" s="186"/>
      <c r="M14" s="186"/>
      <c r="N14" s="186"/>
      <c r="O14" s="187"/>
      <c r="P14" s="14" t="s">
        <v>207</v>
      </c>
      <c r="Q14" s="9"/>
      <c r="R14" s="9"/>
      <c r="S14" s="9"/>
      <c r="T14" s="9"/>
    </row>
    <row r="15" spans="1:20" ht="21.75" customHeight="1">
      <c r="A15" s="178"/>
      <c r="B15" s="179"/>
      <c r="C15" s="179"/>
      <c r="D15" s="179"/>
      <c r="E15" s="180"/>
      <c r="F15" s="178"/>
      <c r="G15" s="179"/>
      <c r="H15" s="179"/>
      <c r="I15" s="179"/>
      <c r="J15" s="180"/>
      <c r="K15" s="188"/>
      <c r="L15" s="189"/>
      <c r="M15" s="189"/>
      <c r="N15" s="189"/>
      <c r="O15" s="190"/>
      <c r="P15" s="14" t="s">
        <v>208</v>
      </c>
      <c r="Q15" s="9"/>
      <c r="R15" s="9"/>
      <c r="S15" s="9"/>
      <c r="T15" s="9"/>
    </row>
    <row r="16" spans="1:20" ht="33.75" customHeight="1">
      <c r="A16" s="128" t="s">
        <v>263</v>
      </c>
      <c r="B16" s="9"/>
      <c r="C16" s="130" t="s">
        <v>271</v>
      </c>
      <c r="D16" s="9"/>
      <c r="E16" s="9"/>
      <c r="F16" s="128" t="s">
        <v>263</v>
      </c>
      <c r="G16" s="9"/>
      <c r="H16" s="130" t="s">
        <v>271</v>
      </c>
      <c r="I16" s="9"/>
      <c r="J16" s="9"/>
      <c r="K16" s="128" t="s">
        <v>263</v>
      </c>
      <c r="L16" s="9"/>
      <c r="M16" s="130" t="s">
        <v>271</v>
      </c>
      <c r="N16" s="9"/>
      <c r="O16" s="9"/>
      <c r="P16" s="14" t="s">
        <v>209</v>
      </c>
      <c r="Q16" s="9"/>
      <c r="R16" s="9"/>
      <c r="S16" s="9"/>
      <c r="T16" s="9"/>
    </row>
    <row r="17" spans="1:20" ht="29.25" customHeight="1">
      <c r="A17" s="128" t="s">
        <v>260</v>
      </c>
      <c r="B17" s="9" t="s">
        <v>283</v>
      </c>
      <c r="C17" s="9">
        <f>237848.33+E9</f>
        <v>773908.4669166666</v>
      </c>
      <c r="D17" s="9"/>
      <c r="E17" s="9"/>
      <c r="F17" s="128" t="s">
        <v>260</v>
      </c>
      <c r="G17" s="9" t="s">
        <v>302</v>
      </c>
      <c r="H17" s="9">
        <f>1129486.67+2163232.91</f>
        <v>3292719.58</v>
      </c>
      <c r="I17" s="9"/>
      <c r="J17" s="9"/>
      <c r="K17" s="128" t="s">
        <v>260</v>
      </c>
      <c r="L17" s="9" t="s">
        <v>301</v>
      </c>
      <c r="M17" s="9">
        <f>1762186.68+2711087.83</f>
        <v>4473274.51</v>
      </c>
      <c r="N17" s="9"/>
      <c r="O17" s="9"/>
      <c r="P17" s="14" t="s">
        <v>210</v>
      </c>
      <c r="Q17" s="9">
        <v>20328</v>
      </c>
      <c r="R17" s="9"/>
      <c r="S17" s="9"/>
      <c r="T17" s="9"/>
    </row>
    <row r="18" spans="1:20" ht="21.75" customHeight="1">
      <c r="A18" s="128" t="s">
        <v>261</v>
      </c>
      <c r="B18" s="138">
        <v>0.45800000000000002</v>
      </c>
      <c r="C18" s="137">
        <f>C17*0.458</f>
        <v>354450.07784783334</v>
      </c>
      <c r="D18" s="9"/>
      <c r="E18" s="9"/>
      <c r="F18" s="128" t="s">
        <v>261</v>
      </c>
      <c r="G18" s="138">
        <v>0.56899999999999995</v>
      </c>
      <c r="H18" s="137">
        <f>H17*G18</f>
        <v>1873557.4410199998</v>
      </c>
      <c r="I18" s="9"/>
      <c r="J18" s="9"/>
      <c r="K18" s="128" t="s">
        <v>261</v>
      </c>
      <c r="L18" s="138">
        <v>0.43</v>
      </c>
      <c r="M18" s="137">
        <f>M17*收入情况表!D22</f>
        <v>1935668.8041948616</v>
      </c>
      <c r="N18" s="9"/>
      <c r="O18" s="9"/>
      <c r="P18" s="14" t="s">
        <v>211</v>
      </c>
      <c r="Q18" s="9"/>
      <c r="R18" s="9"/>
      <c r="S18" s="9"/>
      <c r="T18" s="9"/>
    </row>
    <row r="19" spans="1:20" ht="21.75" customHeight="1">
      <c r="A19" s="128" t="s">
        <v>262</v>
      </c>
      <c r="B19" s="138">
        <v>0.2</v>
      </c>
      <c r="C19" s="9">
        <f>C17*0.2</f>
        <v>154781.69338333333</v>
      </c>
      <c r="D19" s="9"/>
      <c r="E19" s="9"/>
      <c r="F19" s="128" t="s">
        <v>262</v>
      </c>
      <c r="G19" s="138">
        <v>0.26800000000000002</v>
      </c>
      <c r="H19" s="9">
        <f>H17*G19</f>
        <v>882448.84744000004</v>
      </c>
      <c r="I19" s="9"/>
      <c r="J19" s="9"/>
      <c r="K19" s="128" t="s">
        <v>262</v>
      </c>
      <c r="L19" s="138">
        <f>收入情况表!D23</f>
        <v>0.214982431968719</v>
      </c>
      <c r="M19" s="9">
        <f>M17*0.2</f>
        <v>894654.902</v>
      </c>
      <c r="N19" s="9"/>
      <c r="O19" s="9"/>
      <c r="P19" s="14" t="s">
        <v>212</v>
      </c>
      <c r="Q19" s="9">
        <v>11795</v>
      </c>
      <c r="R19" s="9"/>
      <c r="S19" s="9"/>
      <c r="T19" s="9"/>
    </row>
    <row r="20" spans="1:20" ht="21.75" customHeight="1">
      <c r="A20" s="129" t="s">
        <v>264</v>
      </c>
      <c r="B20" s="138">
        <v>0.34200000000000003</v>
      </c>
      <c r="C20" s="9">
        <f>C17*0.342</f>
        <v>264676.69568549999</v>
      </c>
      <c r="D20" s="9"/>
      <c r="E20" s="9"/>
      <c r="F20" s="129" t="s">
        <v>264</v>
      </c>
      <c r="G20" s="138">
        <v>0.16300000000000001</v>
      </c>
      <c r="H20" s="9">
        <f>H17*G20</f>
        <v>536713.29154000001</v>
      </c>
      <c r="I20" s="9"/>
      <c r="J20" s="9"/>
      <c r="K20" s="129" t="s">
        <v>264</v>
      </c>
      <c r="L20" s="138">
        <f>收入情况表!D24</f>
        <v>0.37</v>
      </c>
      <c r="M20" s="9">
        <f>M17*0.342</f>
        <v>1529859.8824200002</v>
      </c>
      <c r="N20" s="9"/>
      <c r="O20" s="9"/>
      <c r="P20" s="16" t="s">
        <v>213</v>
      </c>
      <c r="Q20" s="9"/>
      <c r="R20" s="9"/>
      <c r="S20" s="9"/>
      <c r="T20" s="9"/>
    </row>
    <row r="21" spans="1:20" ht="21.75" customHeight="1">
      <c r="A21" s="15"/>
      <c r="B21" s="9"/>
      <c r="C21" s="121"/>
      <c r="D21" s="11"/>
      <c r="E21" s="9"/>
      <c r="F21" s="15"/>
      <c r="G21" s="9"/>
      <c r="H21" s="121"/>
      <c r="I21" s="11"/>
      <c r="J21" s="9"/>
      <c r="K21" s="15"/>
      <c r="L21" s="9"/>
      <c r="M21" s="121"/>
      <c r="N21" s="11"/>
      <c r="O21" s="9"/>
      <c r="P21" s="15" t="s">
        <v>214</v>
      </c>
      <c r="Q21" s="9">
        <f>SUM(Q22:Q27)</f>
        <v>986285</v>
      </c>
      <c r="R21" s="121" t="s">
        <v>215</v>
      </c>
      <c r="S21" s="11">
        <v>0.05</v>
      </c>
      <c r="T21" s="9">
        <f>SUM(T22:T27)</f>
        <v>0</v>
      </c>
    </row>
    <row r="22" spans="1:20" ht="21.75" customHeight="1">
      <c r="A22" s="14"/>
      <c r="B22" s="9"/>
      <c r="C22" s="9"/>
      <c r="D22" s="9"/>
      <c r="E22" s="9"/>
      <c r="F22" s="14"/>
      <c r="G22" s="9"/>
      <c r="H22" s="9"/>
      <c r="I22" s="9"/>
      <c r="J22" s="9"/>
      <c r="K22" s="14"/>
      <c r="L22" s="9"/>
      <c r="M22" s="9"/>
      <c r="N22" s="9"/>
      <c r="O22" s="9"/>
      <c r="P22" s="14" t="s">
        <v>216</v>
      </c>
      <c r="Q22" s="9">
        <v>604565.29</v>
      </c>
      <c r="R22" s="9"/>
      <c r="S22" s="9"/>
      <c r="T22" s="9"/>
    </row>
    <row r="23" spans="1:20" ht="21.75" customHeight="1">
      <c r="A23" s="14"/>
      <c r="B23" s="9"/>
      <c r="C23" s="9"/>
      <c r="D23" s="9"/>
      <c r="E23" s="9"/>
      <c r="F23" s="14"/>
      <c r="G23" s="9"/>
      <c r="H23" s="9"/>
      <c r="I23" s="9"/>
      <c r="J23" s="9"/>
      <c r="K23" s="14"/>
      <c r="L23" s="9"/>
      <c r="M23" s="9"/>
      <c r="N23" s="9"/>
      <c r="O23" s="9"/>
      <c r="P23" s="14" t="s">
        <v>217</v>
      </c>
      <c r="Q23" s="9">
        <v>20960</v>
      </c>
      <c r="R23" s="9"/>
      <c r="S23" s="9"/>
      <c r="T23" s="9"/>
    </row>
    <row r="24" spans="1:20" ht="21.75" customHeight="1">
      <c r="A24" s="14"/>
      <c r="B24" s="9"/>
      <c r="C24" s="9"/>
      <c r="D24" s="9"/>
      <c r="E24" s="9"/>
      <c r="F24" s="14"/>
      <c r="G24" s="9"/>
      <c r="H24" s="9"/>
      <c r="I24" s="9"/>
      <c r="J24" s="9"/>
      <c r="K24" s="14"/>
      <c r="L24" s="9"/>
      <c r="M24" s="9"/>
      <c r="N24" s="9"/>
      <c r="O24" s="9"/>
      <c r="P24" s="14" t="s">
        <v>218</v>
      </c>
      <c r="Q24" s="9">
        <v>186659.71</v>
      </c>
      <c r="R24" s="9"/>
      <c r="S24" s="9"/>
      <c r="T24" s="9"/>
    </row>
    <row r="25" spans="1:20" ht="21.75" customHeight="1">
      <c r="A25" s="14"/>
      <c r="B25" s="9"/>
      <c r="C25" s="9"/>
      <c r="D25" s="9"/>
      <c r="E25" s="9"/>
      <c r="F25" s="14"/>
      <c r="G25" s="9"/>
      <c r="H25" s="9"/>
      <c r="I25" s="9"/>
      <c r="J25" s="9"/>
      <c r="K25" s="14"/>
      <c r="L25" s="9"/>
      <c r="M25" s="9"/>
      <c r="N25" s="9"/>
      <c r="O25" s="9"/>
      <c r="P25" s="14" t="s">
        <v>219</v>
      </c>
      <c r="Q25" s="9"/>
      <c r="R25" s="9"/>
      <c r="S25" s="9"/>
      <c r="T25" s="9"/>
    </row>
    <row r="26" spans="1:20" ht="21.75" customHeight="1">
      <c r="A26" s="14"/>
      <c r="B26" s="9"/>
      <c r="C26" s="9"/>
      <c r="D26" s="9"/>
      <c r="E26" s="9"/>
      <c r="F26" s="14"/>
      <c r="G26" s="9"/>
      <c r="H26" s="9"/>
      <c r="I26" s="9"/>
      <c r="J26" s="9"/>
      <c r="K26" s="14"/>
      <c r="L26" s="9"/>
      <c r="M26" s="9"/>
      <c r="N26" s="9"/>
      <c r="O26" s="9"/>
      <c r="P26" s="14" t="s">
        <v>220</v>
      </c>
      <c r="Q26" s="9">
        <v>4600</v>
      </c>
      <c r="R26" s="9"/>
      <c r="S26" s="9"/>
      <c r="T26" s="9"/>
    </row>
    <row r="27" spans="1:20" ht="21.75" customHeight="1">
      <c r="A27" s="14"/>
      <c r="B27" s="9"/>
      <c r="C27" s="9"/>
      <c r="D27" s="9"/>
      <c r="E27" s="9"/>
      <c r="F27" s="14"/>
      <c r="G27" s="9"/>
      <c r="H27" s="9"/>
      <c r="I27" s="9"/>
      <c r="J27" s="9"/>
      <c r="K27" s="14"/>
      <c r="L27" s="9"/>
      <c r="M27" s="9"/>
      <c r="N27" s="9"/>
      <c r="O27" s="9"/>
      <c r="P27" s="14" t="s">
        <v>221</v>
      </c>
      <c r="Q27" s="9">
        <v>169500</v>
      </c>
      <c r="R27" s="9"/>
      <c r="S27" s="9"/>
      <c r="T27" s="9"/>
    </row>
    <row r="28" spans="1:20" ht="21.75" customHeight="1">
      <c r="A28" s="15"/>
      <c r="B28" s="9"/>
      <c r="C28" s="121"/>
      <c r="D28" s="11"/>
      <c r="E28" s="9"/>
      <c r="F28" s="15"/>
      <c r="G28" s="9"/>
      <c r="H28" s="121"/>
      <c r="I28" s="11"/>
      <c r="J28" s="9"/>
      <c r="K28" s="15"/>
      <c r="L28" s="9"/>
      <c r="M28" s="121"/>
      <c r="N28" s="11"/>
      <c r="O28" s="9"/>
      <c r="P28" s="15" t="s">
        <v>222</v>
      </c>
      <c r="Q28" s="9">
        <f>Q29+Q31</f>
        <v>711040.07000000007</v>
      </c>
      <c r="R28" s="121" t="s">
        <v>196</v>
      </c>
      <c r="S28" s="11">
        <v>0.05</v>
      </c>
      <c r="T28" s="9">
        <f>T29+T31</f>
        <v>0</v>
      </c>
    </row>
    <row r="29" spans="1:20" ht="21.75" customHeight="1">
      <c r="A29" s="14"/>
      <c r="B29" s="9"/>
      <c r="C29" s="9"/>
      <c r="D29" s="9"/>
      <c r="E29" s="9"/>
      <c r="F29" s="14"/>
      <c r="G29" s="9"/>
      <c r="H29" s="9"/>
      <c r="I29" s="9"/>
      <c r="J29" s="9"/>
      <c r="K29" s="14"/>
      <c r="L29" s="9"/>
      <c r="M29" s="9"/>
      <c r="N29" s="9"/>
      <c r="O29" s="9"/>
      <c r="P29" s="14" t="s">
        <v>223</v>
      </c>
      <c r="Q29" s="9">
        <f>183406+50928+310273.3</f>
        <v>544607.30000000005</v>
      </c>
      <c r="R29" s="9"/>
      <c r="S29" s="9"/>
      <c r="T29" s="9"/>
    </row>
    <row r="30" spans="1:20" ht="21.75" customHeight="1">
      <c r="A30" s="17"/>
      <c r="B30" s="9"/>
      <c r="C30" s="9"/>
      <c r="D30" s="9"/>
      <c r="E30" s="9"/>
      <c r="F30" s="17"/>
      <c r="G30" s="9"/>
      <c r="H30" s="9"/>
      <c r="I30" s="9"/>
      <c r="J30" s="9"/>
      <c r="K30" s="17"/>
      <c r="L30" s="9"/>
      <c r="M30" s="9"/>
      <c r="N30" s="9"/>
      <c r="O30" s="9"/>
      <c r="P30" s="17" t="s">
        <v>224</v>
      </c>
      <c r="Q30" s="9">
        <v>50928</v>
      </c>
      <c r="R30" s="9"/>
      <c r="S30" s="9"/>
      <c r="T30" s="9"/>
    </row>
    <row r="31" spans="1:20" ht="21.75" customHeight="1">
      <c r="A31" s="14"/>
      <c r="B31" s="9"/>
      <c r="C31" s="9"/>
      <c r="D31" s="9"/>
      <c r="E31" s="9"/>
      <c r="F31" s="14"/>
      <c r="G31" s="9"/>
      <c r="H31" s="9"/>
      <c r="I31" s="9"/>
      <c r="J31" s="9"/>
      <c r="K31" s="14"/>
      <c r="L31" s="9"/>
      <c r="M31" s="9"/>
      <c r="N31" s="9"/>
      <c r="O31" s="9"/>
      <c r="P31" s="14" t="s">
        <v>225</v>
      </c>
      <c r="Q31" s="9">
        <f>10140+156292.77</f>
        <v>166432.76999999999</v>
      </c>
      <c r="R31" s="9"/>
      <c r="S31" s="9"/>
      <c r="T31" s="9"/>
    </row>
  </sheetData>
  <mergeCells count="10">
    <mergeCell ref="P1:T1"/>
    <mergeCell ref="F6:J8"/>
    <mergeCell ref="F13:J15"/>
    <mergeCell ref="K6:O8"/>
    <mergeCell ref="K13:O15"/>
    <mergeCell ref="A1:E1"/>
    <mergeCell ref="F1:J1"/>
    <mergeCell ref="K1:O1"/>
    <mergeCell ref="A6:E8"/>
    <mergeCell ref="A13:E15"/>
  </mergeCells>
  <phoneticPr fontId="38"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lpstr>教育成本归集表!Print_Titles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2022-08-18T06:53:26Z</cp:lastPrinted>
  <dcterms:created xsi:type="dcterms:W3CDTF">2022-07-04T01:13:00Z</dcterms:created>
  <dcterms:modified xsi:type="dcterms:W3CDTF">2022-08-18T07:41:27Z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2CA97007C25747A790A7A9DC60D66987</vt:lpwstr>
  </property>
  <property fmtid="{D5CDD505-2E9C-101B-9397-08002B2CF9AE}" pid="3" name="KSOProductBuildVer">
    <vt:lpwstr>2052-11.1.0.11875</vt:lpwstr>
  </property>
</Properties>
</file>